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60" windowWidth="11400" windowHeight="4335" tabRatio="1000" activeTab="0"/>
  </bookViews>
  <sheets>
    <sheet name="RESUMEN " sheetId="1" r:id="rId1"/>
    <sheet name="META 1" sheetId="2" r:id="rId2"/>
    <sheet name="META 2" sheetId="3" r:id="rId3"/>
    <sheet name="META 3" sheetId="4" r:id="rId4"/>
    <sheet name="META 4" sheetId="5" r:id="rId5"/>
    <sheet name="META 5" sheetId="6" r:id="rId6"/>
    <sheet name="META 6" sheetId="7" r:id="rId7"/>
    <sheet name="META 7" sheetId="8" r:id="rId8"/>
    <sheet name="META 8" sheetId="9" r:id="rId9"/>
    <sheet name="META 9" sheetId="10" r:id="rId10"/>
    <sheet name="META 10" sheetId="11" r:id="rId11"/>
    <sheet name="META 11" sheetId="12" r:id="rId12"/>
    <sheet name="META 12" sheetId="13" r:id="rId13"/>
    <sheet name="META 13" sheetId="14" r:id="rId14"/>
    <sheet name="Metas" sheetId="15" state="hidden" r:id="rId15"/>
    <sheet name="Hoja1" sheetId="16" state="hidden" r:id="rId16"/>
    <sheet name="Hoja2" sheetId="17" state="hidden" r:id="rId17"/>
    <sheet name="Hoja3" sheetId="18" state="hidden" r:id="rId18"/>
    <sheet name="Hoja4" sheetId="19" state="hidden" r:id="rId19"/>
    <sheet name="Hoja5" sheetId="20" state="hidden" r:id="rId20"/>
    <sheet name="Hoja6" sheetId="21" state="hidden" r:id="rId21"/>
  </sheets>
  <definedNames/>
  <calcPr fullCalcOnLoad="1"/>
</workbook>
</file>

<file path=xl/sharedStrings.xml><?xml version="1.0" encoding="utf-8"?>
<sst xmlns="http://schemas.openxmlformats.org/spreadsheetml/2006/main" count="4330" uniqueCount="319">
  <si>
    <t>COMUNA</t>
  </si>
  <si>
    <t>ESTABLECIMIENTO</t>
  </si>
  <si>
    <t>META 1: COBERTURA EXAMEN DE MEDICINA PREVENTIVA (EMP), EN HOMBRES DE 20 A 44 AÑOS</t>
  </si>
  <si>
    <t>NUMERADOR</t>
  </si>
  <si>
    <t>DENOMINADOR</t>
  </si>
  <si>
    <t>Nº Examen de Medicina Preventiva (EMP) realizado en población masculina de 20 a 44 años</t>
  </si>
  <si>
    <t>Población masculina de 20 a 44 años bajo control en programa de salud cardiovascular</t>
  </si>
  <si>
    <t>Población masculina de 20 a 44 años inscrita</t>
  </si>
  <si>
    <t>Población masculina de 20 a 44 años inscrita, menos población bajo control en Programa Salud Cardiovascular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</si>
  <si>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</si>
  <si>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</si>
  <si>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</si>
  <si>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</si>
  <si>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</si>
  <si>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</si>
  <si>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</si>
  <si>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</si>
  <si>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SEPBRE</t>
  </si>
  <si>
    <t>OCTBRE</t>
  </si>
  <si>
    <t>NOVBRE</t>
  </si>
  <si>
    <t>DICBRE</t>
  </si>
  <si>
    <t>TOTAL</t>
  </si>
  <si>
    <t>A JUNIO</t>
  </si>
  <si>
    <t>TOTAL CANELA</t>
  </si>
  <si>
    <t>Ingresos de población masculina al PSCV de 20 y 44 años</t>
  </si>
  <si>
    <t>Egresos de población masculina al PSCV de 20 y 44 años</t>
  </si>
  <si>
    <t>A AGOSTO</t>
  </si>
  <si>
    <t>A DICBRE</t>
  </si>
  <si>
    <t>A OCTBRE</t>
  </si>
  <si>
    <t>META 2: COBERTURA EXAMEN DE MEDICINA PREVENTIVA (EMP), EN MUJERES DE 45 A 64 AÑOS</t>
  </si>
  <si>
    <t>Nº Examen de Medicina Preventiva (EMP) realizado en población femenina de 45 a 64 años</t>
  </si>
  <si>
    <t>Población femenina de 45 a 64 años inscrita</t>
  </si>
  <si>
    <t>Población femenina de 45 a 64 años bajo control en Programa Salud Cardiovascular</t>
  </si>
  <si>
    <t>Población femenina de 45 a 64 años inscrita, menos población bajo control en Programa Salud Cardiovascular</t>
  </si>
  <si>
    <t>Ingresos de población femenina al PSCV de 45 y 65 años</t>
  </si>
  <si>
    <t>Egresos de población Femenina al PSCV de 45 a 65 años</t>
  </si>
  <si>
    <t>N° de adultos de 65 y más años con Examen de Medicina Preventiva</t>
  </si>
  <si>
    <t>META 3: COBERTURA EXAMEN DE MEDICINA PREVENTIVA (EMPAM) EN PERSONAS DE 65 AÑOS Y MÁS</t>
  </si>
  <si>
    <t>META 4: INGRESO PRECOZ A CONTROL DE EMBARAZO</t>
  </si>
  <si>
    <t>Nº de mujeres embarazadas ingresadas antes de las 14 semanas a control</t>
  </si>
  <si>
    <t>Total de mujeres embarazadas ingresadas a control</t>
  </si>
  <si>
    <t>Nº de adultos de 65 y más años inscritos</t>
  </si>
  <si>
    <t>META 5: PROPORCIÓN DE MENORES DE 20 AÑOS CON ALTA ODONTOLÓGICA TOTAL</t>
  </si>
  <si>
    <t>Nº de altas odontológicas totales en población menor de 20 años</t>
  </si>
  <si>
    <t>Población inscrita menor de 20 años</t>
  </si>
  <si>
    <t>META 6: GESTION DE RECLAMOS EN APS</t>
  </si>
  <si>
    <t>Nº total de reclamos respondidos con solución dentro de los plazos legales establecidos (15 días hábiles)</t>
  </si>
  <si>
    <t>Nº total de reclamos</t>
  </si>
  <si>
    <t>META 7: COBERTURA DE ATENCION DE DIABETES MELLITUS TIPO 2 EN PERSONAS DE 15 Y MÁS AÑOS</t>
  </si>
  <si>
    <t>Nº de personas con diabetes mellitus 2 bajo control de 15 y más años</t>
  </si>
  <si>
    <t>Población 15-64 años estimada según prevalencia (población inscrita Fonasa de 15 a 64 años x 10%)</t>
  </si>
  <si>
    <t>Población 65 y más años estimada según prevalencia (población inscrita Fonasa de 65 y más años x 25%)</t>
  </si>
  <si>
    <t>Ingresos de personas con diabetes a PSCV de 15 y más años</t>
  </si>
  <si>
    <t>Egresos de personas diabéticas del PSCV de 15 y más años</t>
  </si>
  <si>
    <t>META 8: COBERTURA DE HIPERTENSION ARTERIAL EN PERSONAS DE 15 AÑOS Y MAS</t>
  </si>
  <si>
    <t>Ingresos de personas con hipertensión a PSCV de 15 y más años</t>
  </si>
  <si>
    <t>Egresos de personas hipertensas del PSCV de 15 y más años</t>
  </si>
  <si>
    <t>Población 15-64 años estimada según prevalencia (población inscrita Fonasa de 15 a 64 años x 15,7%)</t>
  </si>
  <si>
    <t>Población 65 y más años estimada según prevalencia (población inscrita Fonasa de 65 y más años x 64,3%)</t>
  </si>
  <si>
    <t>META 10: TASA DE VISITA DOMICILIARIA INTEGRAL</t>
  </si>
  <si>
    <t>Nº de visitas domiciliarias integrales realizadas</t>
  </si>
  <si>
    <t>Nº de familias (población Inscrita / 4)</t>
  </si>
  <si>
    <t>META 9: COBERTURA DE EVALUACIÓN DEL DESARROLLO PSICOMOTOR DE NIÑOS Y NIÑAS DE 12 A 23 MESES BAJO CONTROL</t>
  </si>
  <si>
    <t>Niños y niñas 12 a 23 con Evaluación del Desarrollo Psicomotor</t>
  </si>
  <si>
    <t>Niños y Niñas entre 12 a 23 meses bajo control</t>
  </si>
  <si>
    <t>105300-CES. CARDENAL CARO</t>
  </si>
  <si>
    <t>105301-CES. LAS COMPAÑIAS</t>
  </si>
  <si>
    <t>105302-CES. PEDRO AGUIRRE C.</t>
  </si>
  <si>
    <t>105313-CES. SCHAFFHAUSER</t>
  </si>
  <si>
    <t>105319-CES. CARDENAL R.S.H.</t>
  </si>
  <si>
    <t>105325-CESFAM JUAN PABLO II</t>
  </si>
  <si>
    <t xml:space="preserve">105400-P.S.R. ALGARROBITO            </t>
  </si>
  <si>
    <t>105401-P.S.R. LAS ROJAS</t>
  </si>
  <si>
    <t>105402-P.S.R. EL ROMERO</t>
  </si>
  <si>
    <t>105499-P.S.R. LAMBERT</t>
  </si>
  <si>
    <t>105700-CECOF VILLA EL INDIO</t>
  </si>
  <si>
    <t>105701-CECOF VILLA ALEMANIA</t>
  </si>
  <si>
    <t>105702-CECOF VILLA LAMBERT</t>
  </si>
  <si>
    <t>04101-LA SERENA</t>
  </si>
  <si>
    <t>04102-COQUIMBO</t>
  </si>
  <si>
    <t>105303-CES. SAN JUAN</t>
  </si>
  <si>
    <t>105304-CES. SANTA CECILIA</t>
  </si>
  <si>
    <t>105305-CES. TIERRAS BLANCAS</t>
  </si>
  <si>
    <t>105321-CES. RURAL  TONGOY</t>
  </si>
  <si>
    <t>105323-CES. DR. SERGIO AGUILAR</t>
  </si>
  <si>
    <t xml:space="preserve">105404-P.S.R. EL TANGUE                         </t>
  </si>
  <si>
    <t>105405-P.S.R. GUANAQUEROS</t>
  </si>
  <si>
    <t>105406-P.S.R. PAN DE AZUCAR</t>
  </si>
  <si>
    <t>105407-P.S.R. TAMBILLOS</t>
  </si>
  <si>
    <t>105705-CECOF EL ALBA</t>
  </si>
  <si>
    <t>105467-P.S.R. DIAGUITAS</t>
  </si>
  <si>
    <t>105468-P.S.R. EL MOLLE</t>
  </si>
  <si>
    <t>105469-P.S.R. EL TAMBO</t>
  </si>
  <si>
    <t>105470-P.S.R. HUANTA</t>
  </si>
  <si>
    <t>105471-P.S.R. PERALILLO</t>
  </si>
  <si>
    <t>105472-P.S.R. RIVADAVIA</t>
  </si>
  <si>
    <t>105473-P.S.R. TALCUNA</t>
  </si>
  <si>
    <t>105474-P.S.R. CHAPILCA</t>
  </si>
  <si>
    <t>105502-P.S.R. CALINGASTA</t>
  </si>
  <si>
    <t>105509-P.S.R. GUALLIGUAICA</t>
  </si>
  <si>
    <t>04106-VICUÑA</t>
  </si>
  <si>
    <t>105326-CESFAM SAN RAFAEL</t>
  </si>
  <si>
    <t xml:space="preserve">105443-P.S.R. CARCAMO                   </t>
  </si>
  <si>
    <t>105444-P.S.R. HUINTIL</t>
  </si>
  <si>
    <t>105445-P.S.R. LIMAHUIDA</t>
  </si>
  <si>
    <t>105446-P.S.R. MATANCILLA</t>
  </si>
  <si>
    <t>105447-P.S.R. PERALILLO</t>
  </si>
  <si>
    <t>105448-P.S.R. SANTA VIRGINIA</t>
  </si>
  <si>
    <t>105449-P.S.R. TUNGA NORTE</t>
  </si>
  <si>
    <t>105485-P.S.R. PLAN DE HORNOS</t>
  </si>
  <si>
    <t>105486-P.S.R. TUNGA SUR</t>
  </si>
  <si>
    <t>105487-P.S.R. CAÑAS UNO</t>
  </si>
  <si>
    <t>105496-P.S.R. PINTACURA SUR</t>
  </si>
  <si>
    <t>105504-P.S.R. SOCAVON</t>
  </si>
  <si>
    <t>04201-ILLAPEL</t>
  </si>
  <si>
    <t>105309-CES. RURAL CANELA</t>
  </si>
  <si>
    <t xml:space="preserve">105450-P.S.R. MINCHA NORTE            </t>
  </si>
  <si>
    <t>105451-P.S.R. AGUA FRIA</t>
  </si>
  <si>
    <t>105482-P.S.R. CANELA ALTA</t>
  </si>
  <si>
    <t>105483-P.S.R. LOS RULOS</t>
  </si>
  <si>
    <t>105484-P.S.R. HUENTELAUQUEN</t>
  </si>
  <si>
    <t>105488-P.S.R. ESPIRITU SANTO</t>
  </si>
  <si>
    <t>105493-P.S.R. MINCHA SUR</t>
  </si>
  <si>
    <t>105497-P.S.R. JABONERIA</t>
  </si>
  <si>
    <t>105498-P.S.R. QUEBRADA DE LINARES</t>
  </si>
  <si>
    <t>04202-CANELA</t>
  </si>
  <si>
    <t xml:space="preserve">105478-P.S.R. CAIMANES                   </t>
  </si>
  <si>
    <t>105479-P.S.R. GUANGUALI</t>
  </si>
  <si>
    <t>105480-P.S.R. QUILIMARI</t>
  </si>
  <si>
    <t>105481-P.S.R. TILAMA</t>
  </si>
  <si>
    <t>105511-P.S.R. LOS CONDORES</t>
  </si>
  <si>
    <t>04203-LOS VILOS</t>
  </si>
  <si>
    <t xml:space="preserve">105452-P.S.R. CUNCUMEN                 </t>
  </si>
  <si>
    <t>105453-P.S.R. TRANQUILLA</t>
  </si>
  <si>
    <t>105454-P.S.R. CUNLAGUA</t>
  </si>
  <si>
    <t>105455-P.S.R. CHILLEPIN</t>
  </si>
  <si>
    <t>105456-P.S.R. LLIMPO</t>
  </si>
  <si>
    <t>105457-P.S.R. SAN AGUSTIN</t>
  </si>
  <si>
    <t>105458-P.S.R. TAHUINCO</t>
  </si>
  <si>
    <t>105491-P.S.R. QUELEN BAJO</t>
  </si>
  <si>
    <t>105492-P.S.R. CAMISA</t>
  </si>
  <si>
    <t>105501-P.S.R. ARBOLEDA GRANDE</t>
  </si>
  <si>
    <t>04204-SALAMANCA</t>
  </si>
  <si>
    <t>105315-CES. RURAL C. DE TAMAYA</t>
  </si>
  <si>
    <t>105317-CES. JORGE JORDAN D.</t>
  </si>
  <si>
    <t>105322-CES. MARCOS MACUADA</t>
  </si>
  <si>
    <t>105324-CES. SOTAQUI</t>
  </si>
  <si>
    <t>105415-P.S.R. BARRAZA</t>
  </si>
  <si>
    <t xml:space="preserve">105416-P.S.R. CAMARICO                  </t>
  </si>
  <si>
    <t>105417-P.S.R. ALCONES BAJOS</t>
  </si>
  <si>
    <t>105419-P.S.R. LAS SOSSAS</t>
  </si>
  <si>
    <t>105420-P.S.R. LIMARI</t>
  </si>
  <si>
    <t>105422-P.S.R. HORNILLOS</t>
  </si>
  <si>
    <t>105437-P.S.R. CHALINGA</t>
  </si>
  <si>
    <t>105439-P.S.R. CERRO BLANCO</t>
  </si>
  <si>
    <t>105507-P.S.R. HUAMALATA</t>
  </si>
  <si>
    <t>105510-P.S.R. RECOLETA</t>
  </si>
  <si>
    <t>105722-CECOF SAN JOSE DE LA DEHESA</t>
  </si>
  <si>
    <t>105723-CECOF LIMARI</t>
  </si>
  <si>
    <t>04301-OVALLE</t>
  </si>
  <si>
    <t>105433-P.S.R. SAN LORENZO</t>
  </si>
  <si>
    <t>105434-P.S.R. SAN MARCOS</t>
  </si>
  <si>
    <t>105441-P.S.R. MANQUEHUA</t>
  </si>
  <si>
    <t xml:space="preserve">105459-P.S.R. BARRANCAS                </t>
  </si>
  <si>
    <t>105460-P.S.R. COGOTI 18</t>
  </si>
  <si>
    <t>105461-P.S.R. EL HUACHO</t>
  </si>
  <si>
    <t>105462-P.S.R. EL SAUCE</t>
  </si>
  <si>
    <t>105463-P.S.R. QUILITAPIA</t>
  </si>
  <si>
    <t>105464-P.S.R. LA LIGUA</t>
  </si>
  <si>
    <t>105465-P.S.R. RAMADILLA</t>
  </si>
  <si>
    <t>105466-P.S.R. VALLE HERMOSO</t>
  </si>
  <si>
    <t>105490-P.S.R. EL DURAZNO</t>
  </si>
  <si>
    <t>04302-COMBARBALÁ</t>
  </si>
  <si>
    <t>105307-CES. RURAL MONTE PATRIA</t>
  </si>
  <si>
    <t>105311-CES. RURAL CHAÑARAL ALTO</t>
  </si>
  <si>
    <t>105312-CES. RURAL CAREN</t>
  </si>
  <si>
    <t>105318-CES. RURAL EL PALQUI</t>
  </si>
  <si>
    <t>105425-P.S.R. CHILECITO</t>
  </si>
  <si>
    <t>105427-P.S.R. HACIENDA VALDIVIA</t>
  </si>
  <si>
    <t>105428-P.S.R. HUATULAME</t>
  </si>
  <si>
    <t>105430-P.S.R. MIALQUI</t>
  </si>
  <si>
    <t>105431-P.S.R. PEDREGAL</t>
  </si>
  <si>
    <t>105432-P.S.R. RAPEL</t>
  </si>
  <si>
    <t>105435-P.S.R. TULAHUEN</t>
  </si>
  <si>
    <t>105436-P.S.R. EL MAITEN</t>
  </si>
  <si>
    <t>105489-P.S.R. RAMADAS DE TULAHUEN</t>
  </si>
  <si>
    <t>04304-MONTE PATRIA</t>
  </si>
  <si>
    <t>105308-CES. RURAL PUNITAQUI</t>
  </si>
  <si>
    <t>105440-P.S.R. DIVISADERO</t>
  </si>
  <si>
    <t>105442-P.S.R. SAN PEDRO DE QUILES</t>
  </si>
  <si>
    <t xml:space="preserve">105508-P.S.R. EL PARRAL DE QUILES  </t>
  </si>
  <si>
    <t>04304-PUNITAQUI</t>
  </si>
  <si>
    <t>105310-CES. RURAL PICHASCA</t>
  </si>
  <si>
    <t>105409-P.S.R. EL CHAÑAR</t>
  </si>
  <si>
    <t>105410-P.S.R. HURTADO</t>
  </si>
  <si>
    <t>105411-P.S.R. LAS BREAS</t>
  </si>
  <si>
    <t>105413-P.S.R. SAMO ALTO</t>
  </si>
  <si>
    <t>105414-P.S.R. SERON</t>
  </si>
  <si>
    <t>105503-P.S.R. TABAQUEROS</t>
  </si>
  <si>
    <t>04305-RIO HURTADO</t>
  </si>
  <si>
    <t>TOTAL LA SERENA</t>
  </si>
  <si>
    <t>TOTAL COQUIMBO</t>
  </si>
  <si>
    <t>TOTAL VICUÑA</t>
  </si>
  <si>
    <t>TOTAL ILLAPEL</t>
  </si>
  <si>
    <t>TOTAL LOS VILOS</t>
  </si>
  <si>
    <t>TOTAL SALAMANCA</t>
  </si>
  <si>
    <t>TOTAL OVALLE</t>
  </si>
  <si>
    <t>TOTAL COMBARBALÁ</t>
  </si>
  <si>
    <t>TOTAL MONTE PATRIA</t>
  </si>
  <si>
    <t>TOTAL PUNITAQUI</t>
  </si>
  <si>
    <t>TOTAL RIO HURTADO</t>
  </si>
  <si>
    <t>Nº de diabéticos de 15 y más, esperados según prevalencia</t>
  </si>
  <si>
    <t>Nº de Hipertensos de 15 y más, esperados según prevalencia</t>
  </si>
  <si>
    <t>Indicador</t>
  </si>
  <si>
    <t>Resultado</t>
  </si>
  <si>
    <t>TOTAL MUNICIPAL</t>
  </si>
  <si>
    <t>Nº de personas con Hipertension Arterial bajo control  de 15 años y mas</t>
  </si>
  <si>
    <t>CUMPLIMIENTO</t>
  </si>
  <si>
    <t>TOTAL LA SERENA MUNICIPAL</t>
  </si>
  <si>
    <t>TOTAL COQUIMBO MUNICIPAL</t>
  </si>
  <si>
    <t>TOTAL VICUÑA MUNICIPAL</t>
  </si>
  <si>
    <t>TOTAL ILLAPEL MUNICIPAL</t>
  </si>
  <si>
    <t>TOTAL CANELA MUNICIPAL</t>
  </si>
  <si>
    <t>TOTAL LOS VILOS MUNICIPAL</t>
  </si>
  <si>
    <t>TOTAL SALAMANCA MUNICIPAL</t>
  </si>
  <si>
    <t>TOTAL OVALLE MUNICIPAL</t>
  </si>
  <si>
    <t>TOTAL COMBARBALÁ MUNICIPAL</t>
  </si>
  <si>
    <t>TOTAL MONTE PATRIA MUNICIPAL</t>
  </si>
  <si>
    <t>TOTAL PUNITAQUI MUNICIPAL</t>
  </si>
  <si>
    <t>TOTAL RIO HURTADO MUNICIPAL</t>
  </si>
  <si>
    <t>CODIGO COMUNA</t>
  </si>
  <si>
    <t>TIPO</t>
  </si>
  <si>
    <t>METAS COMPONENTE ACTIVIDAD GENERAL</t>
  </si>
  <si>
    <t>Nº</t>
  </si>
  <si>
    <t>SERVICIOS DE SALUD</t>
  </si>
  <si>
    <t>EMP hombres 20 a 44 años (25%)</t>
  </si>
  <si>
    <t>Cobertura DM2 en personas de 15 y mas años (55%)</t>
  </si>
  <si>
    <t>Cobertutra HTA en personas de 15 y mas años (71%)</t>
  </si>
  <si>
    <t>COQUIMBO</t>
  </si>
  <si>
    <t>CANELA</t>
  </si>
  <si>
    <t>RURAL</t>
  </si>
  <si>
    <t>COMBARBALA</t>
  </si>
  <si>
    <t>URBANA</t>
  </si>
  <si>
    <t>ILLAPEL</t>
  </si>
  <si>
    <t>LA SERENA</t>
  </si>
  <si>
    <t>LOS VILOS</t>
  </si>
  <si>
    <t>MONTE PATRIA</t>
  </si>
  <si>
    <t>OVALLE</t>
  </si>
  <si>
    <t>PUNITAQUI</t>
  </si>
  <si>
    <t>RIO HURTADO</t>
  </si>
  <si>
    <t>SALAMANCA</t>
  </si>
  <si>
    <t>VICUÑA</t>
  </si>
  <si>
    <t>META 11: COBERTURA DE ATENCIÓN DE ASMA  EN POBLACIÓN INSCRITA Y EPOC EN PERSONAS DE 40 AÑOS Y MÁS</t>
  </si>
  <si>
    <t>Nº de personas con diagnóstico de Asma Bajo Control y de personas con EPOC de 40 años y más bajo control</t>
  </si>
  <si>
    <t>Ingresos de personas con Asma y EPOC de 40 años en Sala IRA-ERA</t>
  </si>
  <si>
    <t xml:space="preserve">META 12: COBERTURA DE ATENCIÓN INTEGRAL A PERSONAS DE 5 AÑOS Y MAS CON TRASTORNOS MENTALES </t>
  </si>
  <si>
    <t>Nº de personas de 5 años y más con trastorno mental bajo control</t>
  </si>
  <si>
    <t>Ingresos de personas con trastorno mental de 5 años y más</t>
  </si>
  <si>
    <t>Egresos de personas con trastorno mental de 5 años y más</t>
  </si>
  <si>
    <t>Nº de personas con Asma y EPOC  estimada según prevalencia</t>
  </si>
  <si>
    <t>Población con Asma Bronquial de 3 años y más, estimada según prevalencia (población inscrita Fonasa de 3 y más años x 10%)</t>
  </si>
  <si>
    <t>Población con EPOC de 40 años y más estimada según prevalencia (población inscrita Fonasa de 40 y más años x 8%)</t>
  </si>
  <si>
    <t>METAS ANUALES</t>
  </si>
  <si>
    <t>META Nº11</t>
  </si>
  <si>
    <t>META Nº12</t>
  </si>
  <si>
    <t>Cobertura de Atención de Asma en Población general y EPOC en personas de 40 años y más (22%)</t>
  </si>
  <si>
    <t xml:space="preserve"> Cobertura de Atención Integral de trastornos mentales en personas de 5 y más años (17%)</t>
  </si>
  <si>
    <t>EMP mujeres de 45 a 64 años (26%)</t>
  </si>
  <si>
    <t>EMP 65 y mas años (55%)</t>
  </si>
  <si>
    <t>Control embarazada (87%)</t>
  </si>
  <si>
    <t>Alta odontologica menores de 20 años (24%)</t>
  </si>
  <si>
    <t>Gestion de reclamos(97%)</t>
  </si>
  <si>
    <t>Cobertura de Evaluación del desarrollo Psicomotor de niños/as de 12 a 23 meses bajo control. (94%)</t>
  </si>
  <si>
    <t>Visita domiciliaria integral (0,22)</t>
  </si>
  <si>
    <t>A MARZO</t>
  </si>
  <si>
    <t>Nº de personas con trastorno mental estimada según prevalencia de 5 años y más  (población inscrita Fonasa de 5 y más años x 22%)</t>
  </si>
  <si>
    <t>META Nº1</t>
  </si>
  <si>
    <t>META Nº2</t>
  </si>
  <si>
    <t>META Nº3</t>
  </si>
  <si>
    <t>META Nº4</t>
  </si>
  <si>
    <t>META Nº5</t>
  </si>
  <si>
    <t>META Nº6</t>
  </si>
  <si>
    <t>META Nº7</t>
  </si>
  <si>
    <t>META Nº8</t>
  </si>
  <si>
    <t>META Nº9</t>
  </si>
  <si>
    <t>META Nº10</t>
  </si>
  <si>
    <t>METAS A MARZO</t>
  </si>
  <si>
    <t>Egresos de personas con Asma y EPOC de 40 años en Sala IRA-ERA</t>
  </si>
  <si>
    <t>METAS A JUNIO</t>
  </si>
  <si>
    <t>METAS A AGOSTO</t>
  </si>
  <si>
    <t>METAS A OCTUBRE</t>
  </si>
  <si>
    <t>METAS A DICIEMBRE</t>
  </si>
  <si>
    <t>A DIC 2015</t>
  </si>
  <si>
    <t>META 13: COBERTURA DE CONTROL DE SALUD INTEGRAL EN ADOLESCENTES DE 10 14 AÑOS</t>
  </si>
  <si>
    <t xml:space="preserve">Nº de controles  de salud integral, realizados a adolescentes  de 10 a 14 años </t>
  </si>
  <si>
    <t>Población adolescente de 10 a 14 años inscrita  en el establecimiento de salud</t>
  </si>
  <si>
    <t>META Nº13</t>
  </si>
  <si>
    <t xml:space="preserve">EMP hombres 20 a 44 años </t>
  </si>
  <si>
    <t>EMP mujeres de 45 a 64 años</t>
  </si>
  <si>
    <t>EMP 65 y mas años</t>
  </si>
  <si>
    <t xml:space="preserve">Control embarazada </t>
  </si>
  <si>
    <t xml:space="preserve">Alta odontologica menores de 20 años </t>
  </si>
  <si>
    <t>Gestion de reclamos</t>
  </si>
  <si>
    <t xml:space="preserve">Cobertura DM2 en personas de 15 y mas años </t>
  </si>
  <si>
    <t xml:space="preserve">Cobertutra HTA en personas de 15 y mas años </t>
  </si>
  <si>
    <t>Cobertura de Evaluación del desarrollo Psicomotor de niños/as de 12 a 23 meses bajo control</t>
  </si>
  <si>
    <t xml:space="preserve">Visita domiciliaria integral </t>
  </si>
  <si>
    <t>Cobertura de Atención de Asma en Población general y EPOC en personas de 40 años y más</t>
  </si>
  <si>
    <t xml:space="preserve"> Cobertura de Atención Integral de trastornos mentales en personas de 5 y más años </t>
  </si>
  <si>
    <t xml:space="preserve">Cobertura de control de salud integral a adolescentes de 10 a 14 años </t>
  </si>
  <si>
    <t>AÑO 2016</t>
  </si>
  <si>
    <t>COMBARBALÁ</t>
  </si>
  <si>
    <t>-</t>
  </si>
  <si>
    <t>RESUMEN DE CUMPLIMIENTO DE METAS A MARZO 2016</t>
  </si>
  <si>
    <t>CORTE A FEBRERO</t>
  </si>
  <si>
    <t>MINISTERIO DE SALUD</t>
  </si>
  <si>
    <t>SERVICIO DE SALUD COQUIMBO</t>
  </si>
  <si>
    <t>SUBDIRECCION DE GESTION  ASISTENCIAL</t>
  </si>
  <si>
    <t>SUBDEPTO DE ESTADÍSTICA Y GESTIÓN DE LA INFORMACIÓN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</si>
</sst>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??_-;_-@_-"/>
    <numFmt numFmtId="173" formatCode="0.0%"/>
    <numFmt numFmtId="174" formatCode="#,##0_ ;\-#,##0\ "/>
    <numFmt numFmtId="175" formatCode="_-* #,##0.0_-;\-* #,##0.0_-;_-* &quot;-&quot;??_-;_-@_-"/>
    <numFmt numFmtId="176" formatCode="0.000%"/>
    <numFmt numFmtId="177" formatCode="0.0"/>
    <numFmt numFmtId="178" formatCode="0.000"/>
    <numFmt numFmtId="179" formatCode="0.0000"/>
    <numFmt numFmtId="180" formatCode="_-* #,##0.000_-;\-* #,##0.000_-;_-* &quot;-&quot;??_-;_-@_-"/>
    <numFmt numFmtId="181" formatCode="_-* #,##0.0000_-;\-* #,##0.0000_-;_-* &quot;-&quot;??_-;_-@_-"/>
    <numFmt numFmtId="182" formatCode="_-* #,##0.00000_-;\-* #,##0.00000_-;_-* &quot;-&quot;??_-;_-@_-"/>
    <numFmt numFmtId="183" formatCode="#,##0.0_ ;\-#,##0.0\ "/>
    <numFmt numFmtId="184" formatCode="#,##0.00_ ;\-#,##0.00\ "/>
    <numFmt numFmtId="185" formatCode="#,##0.000_ ;\-#,##0.000\ "/>
    <numFmt numFmtId="186" formatCode="#,##0.0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Trebuchet MS"/>
      <family val="2"/>
    </font>
    <font>
      <sz val="11"/>
      <color indexed="8"/>
      <name val="Trebuchet MS"/>
      <family val="2"/>
    </font>
    <font>
      <b/>
      <sz val="11"/>
      <color indexed="9"/>
      <name val="Trebuchet MS"/>
      <family val="2"/>
    </font>
    <font>
      <b/>
      <sz val="11"/>
      <color indexed="8"/>
      <name val="Trebuchet MS"/>
      <family val="2"/>
    </font>
    <font>
      <sz val="10"/>
      <color indexed="8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name val="Calibri"/>
      <family val="2"/>
    </font>
    <font>
      <b/>
      <sz val="11"/>
      <color indexed="63"/>
      <name val="Trebuchet MS"/>
      <family val="2"/>
    </font>
    <font>
      <b/>
      <sz val="11"/>
      <color indexed="10"/>
      <name val="Trebuchet MS"/>
      <family val="2"/>
    </font>
    <font>
      <b/>
      <sz val="10"/>
      <color indexed="10"/>
      <name val="Verdana"/>
      <family val="2"/>
    </font>
    <font>
      <sz val="11"/>
      <color indexed="8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b/>
      <sz val="11"/>
      <color indexed="10"/>
      <name val="Verdana"/>
      <family val="2"/>
    </font>
    <font>
      <sz val="10"/>
      <color indexed="8"/>
      <name val="Calibri"/>
      <family val="2"/>
    </font>
    <font>
      <sz val="8"/>
      <color indexed="9"/>
      <name val="Verdana"/>
      <family val="2"/>
    </font>
    <font>
      <sz val="10"/>
      <color indexed="9"/>
      <name val="Verdana"/>
      <family val="2"/>
    </font>
    <font>
      <sz val="14"/>
      <color indexed="9"/>
      <name val="Verdana"/>
      <family val="2"/>
    </font>
    <font>
      <sz val="22"/>
      <color indexed="9"/>
      <name val="Verdana"/>
      <family val="2"/>
    </font>
    <font>
      <b/>
      <sz val="10"/>
      <color indexed="9"/>
      <name val="Trebuchet MS"/>
      <family val="2"/>
    </font>
    <font>
      <sz val="9"/>
      <color indexed="9"/>
      <name val="Verdana"/>
      <family val="2"/>
    </font>
    <font>
      <b/>
      <sz val="11"/>
      <color indexed="9"/>
      <name val="Verdana"/>
      <family val="2"/>
    </font>
    <font>
      <b/>
      <sz val="11"/>
      <color indexed="43"/>
      <name val="Verdana"/>
      <family val="2"/>
    </font>
    <font>
      <b/>
      <sz val="9"/>
      <color indexed="43"/>
      <name val="Verdana"/>
      <family val="2"/>
    </font>
    <font>
      <b/>
      <sz val="10"/>
      <color indexed="43"/>
      <name val="Verdana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0"/>
      <name val="Trebuchet MS"/>
      <family val="2"/>
    </font>
    <font>
      <b/>
      <sz val="11"/>
      <color theme="1" tint="0.15000000596046448"/>
      <name val="Trebuchet MS"/>
      <family val="2"/>
    </font>
    <font>
      <b/>
      <sz val="11"/>
      <color rgb="FFFF0000"/>
      <name val="Trebuchet MS"/>
      <family val="2"/>
    </font>
    <font>
      <b/>
      <sz val="10"/>
      <color rgb="FFFF0000"/>
      <name val="Verdana"/>
      <family val="2"/>
    </font>
    <font>
      <sz val="11"/>
      <color theme="1"/>
      <name val="Verdana"/>
      <family val="2"/>
    </font>
    <font>
      <sz val="11"/>
      <color rgb="FFFF0000"/>
      <name val="Verdana"/>
      <family val="2"/>
    </font>
    <font>
      <b/>
      <sz val="11"/>
      <color theme="1"/>
      <name val="Verdana"/>
      <family val="2"/>
    </font>
    <font>
      <b/>
      <sz val="11"/>
      <color rgb="FFFF0000"/>
      <name val="Verdana"/>
      <family val="2"/>
    </font>
    <font>
      <sz val="10"/>
      <color theme="1"/>
      <name val="Calibri"/>
      <family val="2"/>
    </font>
    <font>
      <sz val="8"/>
      <color rgb="FFFFFFFF"/>
      <name val="Verdana"/>
      <family val="2"/>
    </font>
    <font>
      <sz val="10"/>
      <color rgb="FFFFFFFF"/>
      <name val="Verdana"/>
      <family val="2"/>
    </font>
    <font>
      <b/>
      <sz val="11"/>
      <color theme="0"/>
      <name val="Verdana"/>
      <family val="2"/>
    </font>
    <font>
      <sz val="9"/>
      <color theme="0"/>
      <name val="Verdana"/>
      <family val="2"/>
    </font>
    <font>
      <b/>
      <sz val="11"/>
      <color theme="2" tint="-0.09996999800205231"/>
      <name val="Verdana"/>
      <family val="2"/>
    </font>
    <font>
      <b/>
      <sz val="9"/>
      <color theme="2" tint="-0.09996999800205231"/>
      <name val="Verdana"/>
      <family val="2"/>
    </font>
    <font>
      <sz val="9"/>
      <color theme="1"/>
      <name val="Verdana"/>
      <family val="2"/>
    </font>
    <font>
      <b/>
      <sz val="10"/>
      <color theme="2" tint="-0.09996999800205231"/>
      <name val="Verdana"/>
      <family val="2"/>
    </font>
    <font>
      <sz val="14"/>
      <color rgb="FFFFFFFF"/>
      <name val="Verdana"/>
      <family val="2"/>
    </font>
    <font>
      <sz val="22"/>
      <color rgb="FFFFFFFF"/>
      <name val="Verdana"/>
      <family val="2"/>
    </font>
    <font>
      <b/>
      <sz val="10"/>
      <color theme="0"/>
      <name val="Trebuchet MS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medium">
        <color rgb="FFEBEBEB"/>
      </left>
      <right style="medium">
        <color rgb="FFEBEBEB"/>
      </right>
      <top style="medium">
        <color rgb="FFEBEBEB"/>
      </top>
      <bottom style="medium">
        <color rgb="FFEBEBEB"/>
      </bottom>
    </border>
    <border>
      <left style="medium">
        <color rgb="FFEBEBEB"/>
      </left>
      <right/>
      <top style="medium">
        <color rgb="FFEBEBEB"/>
      </top>
      <bottom style="medium">
        <color rgb="FFEBEBEB"/>
      </bottom>
    </border>
    <border>
      <left/>
      <right style="medium">
        <color rgb="FFEBEBEB"/>
      </right>
      <top style="medium">
        <color rgb="FFEBEBEB"/>
      </top>
      <bottom style="medium">
        <color rgb="FFEBEBEB"/>
      </bottom>
    </border>
    <border>
      <left style="medium">
        <color rgb="FFEBEBEB"/>
      </left>
      <right style="medium">
        <color rgb="FFEBEBEB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/>
      <top/>
      <bottom style="medium">
        <color rgb="FFEBEBEB"/>
      </bottom>
    </border>
    <border>
      <left style="medium">
        <color rgb="FFEBEBEB"/>
      </left>
      <right style="medium">
        <color rgb="FFEBEBEB"/>
      </right>
      <top/>
      <bottom style="medium">
        <color rgb="FFEBEBEB"/>
      </bottom>
    </border>
    <border>
      <left style="medium">
        <color rgb="FFEBEBEB"/>
      </left>
      <right/>
      <top/>
      <bottom style="medium">
        <color rgb="FFEBEBEB"/>
      </bottom>
    </border>
    <border>
      <left/>
      <right style="medium">
        <color rgb="FFEBEBEB"/>
      </right>
      <top/>
      <bottom style="medium">
        <color rgb="FFEBEBEB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/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>
        <color indexed="63"/>
      </top>
      <bottom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rgb="FFEBEBEB"/>
      </left>
      <right/>
      <top/>
      <bottom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medium">
        <color theme="0"/>
      </left>
      <right/>
      <top/>
      <bottom style="medium">
        <color theme="0"/>
      </bottom>
    </border>
    <border>
      <left/>
      <right/>
      <top/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  <border>
      <left style="medium">
        <color rgb="FFEBEBEB"/>
      </left>
      <right style="medium">
        <color rgb="FFEBEBEB"/>
      </right>
      <top style="medium">
        <color rgb="FFFFFFFF"/>
      </top>
      <bottom/>
    </border>
    <border>
      <left style="medium">
        <color theme="0"/>
      </left>
      <right/>
      <top style="medium">
        <color theme="0"/>
      </top>
      <bottom/>
    </border>
    <border>
      <left style="medium">
        <color theme="0"/>
      </left>
      <right/>
      <top/>
      <bottom/>
    </border>
    <border>
      <left/>
      <right/>
      <top style="medium">
        <color theme="0"/>
      </top>
      <bottom/>
    </border>
    <border>
      <left/>
      <right style="medium">
        <color theme="0"/>
      </right>
      <top style="medium">
        <color theme="0"/>
      </top>
      <bottom/>
    </border>
    <border>
      <left/>
      <right style="medium">
        <color theme="0"/>
      </right>
      <top/>
      <bottom/>
    </border>
    <border>
      <left>
        <color indexed="63"/>
      </left>
      <right style="thick">
        <color theme="0"/>
      </right>
      <top style="thick">
        <color theme="0"/>
      </top>
      <bottom/>
    </border>
    <border>
      <left>
        <color indexed="63"/>
      </left>
      <right style="thick">
        <color theme="0"/>
      </right>
      <top/>
      <bottom/>
    </border>
    <border>
      <left>
        <color indexed="63"/>
      </left>
      <right style="thick">
        <color theme="0"/>
      </right>
      <top/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/>
    </border>
    <border>
      <left style="thick">
        <color theme="0"/>
      </left>
      <right style="thick">
        <color theme="0"/>
      </right>
      <top/>
      <bottom/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 style="thick">
        <color theme="0"/>
      </left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 style="thick">
        <color theme="0"/>
      </bottom>
    </border>
    <border>
      <left/>
      <right style="thick">
        <color theme="0"/>
      </right>
      <top style="thick">
        <color theme="0"/>
      </top>
      <bottom style="thick">
        <color theme="0"/>
      </bottom>
    </border>
    <border>
      <left style="medium">
        <color rgb="FFEBEBEB"/>
      </left>
      <right/>
      <top style="medium">
        <color rgb="FFEBEBEB"/>
      </top>
      <bottom/>
    </border>
    <border>
      <left/>
      <right/>
      <top style="medium">
        <color rgb="FFEBEBEB"/>
      </top>
      <bottom/>
    </border>
    <border>
      <left style="thick">
        <color theme="0"/>
      </left>
      <right/>
      <top style="thick">
        <color theme="0"/>
      </top>
      <bottom/>
    </border>
    <border>
      <left/>
      <right/>
      <top style="thick">
        <color theme="0"/>
      </top>
      <bottom/>
    </border>
    <border>
      <left style="thick">
        <color theme="0"/>
      </left>
      <right/>
      <top/>
      <bottom/>
    </border>
    <border>
      <left style="thick">
        <color theme="0"/>
      </left>
      <right/>
      <top/>
      <bottom style="thick">
        <color theme="0"/>
      </bottom>
    </border>
    <border>
      <left/>
      <right/>
      <top/>
      <bottom style="thick">
        <color theme="0"/>
      </bottom>
    </border>
    <border>
      <left style="thick">
        <color theme="0"/>
      </left>
      <right style="thick">
        <color theme="0"/>
      </right>
      <top style="medium">
        <color theme="0"/>
      </top>
      <bottom>
        <color indexed="63"/>
      </bottom>
    </border>
    <border>
      <left style="thick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thick">
        <color theme="0"/>
      </left>
      <right style="medium">
        <color theme="0"/>
      </right>
      <top>
        <color indexed="63"/>
      </top>
      <bottom style="thick">
        <color theme="0"/>
      </bottom>
    </border>
    <border>
      <left>
        <color indexed="63"/>
      </left>
      <right style="thick">
        <color theme="0"/>
      </right>
      <top>
        <color indexed="63"/>
      </top>
      <bottom style="medium">
        <color theme="0"/>
      </bottom>
    </border>
    <border>
      <left/>
      <right/>
      <top/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29" borderId="1" applyNumberFormat="0" applyAlignment="0" applyProtection="0"/>
    <xf numFmtId="2" fontId="12" fillId="0" borderId="0" applyFill="0" applyBorder="0" applyAlignment="0" applyProtection="0"/>
    <xf numFmtId="186" fontId="12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7" fontId="12" fillId="0" borderId="0" applyFill="0" applyBorder="0" applyAlignment="0" applyProtection="0"/>
    <xf numFmtId="0" fontId="65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0" fillId="0" borderId="8" applyNumberFormat="0" applyFill="0" applyAlignment="0" applyProtection="0"/>
    <xf numFmtId="0" fontId="71" fillId="0" borderId="9" applyNumberFormat="0" applyFill="0" applyAlignment="0" applyProtection="0"/>
    <xf numFmtId="0" fontId="12" fillId="0" borderId="10" applyNumberFormat="0" applyFill="0" applyAlignment="0" applyProtection="0"/>
  </cellStyleXfs>
  <cellXfs count="304">
    <xf numFmtId="0" fontId="0" fillId="0" borderId="0" xfId="0" applyFont="1" applyAlignment="1">
      <alignment/>
    </xf>
    <xf numFmtId="49" fontId="72" fillId="0" borderId="11" xfId="0" applyNumberFormat="1" applyFont="1" applyFill="1" applyBorder="1" applyAlignment="1">
      <alignment horizontal="left" wrapText="1"/>
    </xf>
    <xf numFmtId="0" fontId="72" fillId="0" borderId="11" xfId="0" applyFont="1" applyFill="1" applyBorder="1" applyAlignment="1">
      <alignment horizontal="center" wrapText="1"/>
    </xf>
    <xf numFmtId="0" fontId="72" fillId="0" borderId="12" xfId="0" applyFont="1" applyFill="1" applyBorder="1" applyAlignment="1">
      <alignment horizontal="center" wrapText="1"/>
    </xf>
    <xf numFmtId="0" fontId="72" fillId="0" borderId="13" xfId="0" applyFont="1" applyFill="1" applyBorder="1" applyAlignment="1">
      <alignment horizontal="left" wrapText="1"/>
    </xf>
    <xf numFmtId="0" fontId="72" fillId="33" borderId="0" xfId="0" applyFont="1" applyFill="1" applyBorder="1" applyAlignment="1">
      <alignment horizontal="left" wrapText="1"/>
    </xf>
    <xf numFmtId="0" fontId="72" fillId="34" borderId="11" xfId="0" applyFont="1" applyFill="1" applyBorder="1" applyAlignment="1">
      <alignment horizontal="center" wrapText="1"/>
    </xf>
    <xf numFmtId="0" fontId="72" fillId="34" borderId="12" xfId="0" applyFont="1" applyFill="1" applyBorder="1" applyAlignment="1">
      <alignment horizontal="center" wrapText="1"/>
    </xf>
    <xf numFmtId="0" fontId="72" fillId="35" borderId="11" xfId="0" applyFont="1" applyFill="1" applyBorder="1" applyAlignment="1">
      <alignment horizontal="center" wrapText="1"/>
    </xf>
    <xf numFmtId="0" fontId="72" fillId="35" borderId="12" xfId="0" applyFont="1" applyFill="1" applyBorder="1" applyAlignment="1">
      <alignment horizontal="center" wrapText="1"/>
    </xf>
    <xf numFmtId="49" fontId="72" fillId="0" borderId="14" xfId="0" applyNumberFormat="1" applyFont="1" applyFill="1" applyBorder="1" applyAlignment="1">
      <alignment horizontal="left" wrapText="1"/>
    </xf>
    <xf numFmtId="0" fontId="2" fillId="8" borderId="12" xfId="0" applyFont="1" applyFill="1" applyBorder="1" applyAlignment="1">
      <alignment horizontal="center" wrapText="1"/>
    </xf>
    <xf numFmtId="172" fontId="2" fillId="8" borderId="12" xfId="54" applyNumberFormat="1" applyFont="1" applyFill="1" applyBorder="1" applyAlignment="1">
      <alignment horizontal="center" wrapText="1"/>
    </xf>
    <xf numFmtId="0" fontId="73" fillId="34" borderId="11" xfId="0" applyFont="1" applyFill="1" applyBorder="1" applyAlignment="1">
      <alignment horizontal="center" wrapText="1"/>
    </xf>
    <xf numFmtId="172" fontId="73" fillId="34" borderId="11" xfId="54" applyNumberFormat="1" applyFont="1" applyFill="1" applyBorder="1" applyAlignment="1">
      <alignment horizontal="center" wrapText="1"/>
    </xf>
    <xf numFmtId="172" fontId="73" fillId="34" borderId="13" xfId="0" applyNumberFormat="1" applyFont="1" applyFill="1" applyBorder="1" applyAlignment="1">
      <alignment horizontal="left" wrapText="1"/>
    </xf>
    <xf numFmtId="172" fontId="3" fillId="34" borderId="12" xfId="54" applyNumberFormat="1" applyFont="1" applyFill="1" applyBorder="1" applyAlignment="1">
      <alignment horizontal="center" wrapText="1"/>
    </xf>
    <xf numFmtId="172" fontId="72" fillId="34" borderId="11" xfId="54" applyNumberFormat="1" applyFont="1" applyFill="1" applyBorder="1" applyAlignment="1">
      <alignment horizontal="center" wrapText="1"/>
    </xf>
    <xf numFmtId="9" fontId="72" fillId="0" borderId="13" xfId="67" applyFont="1" applyFill="1" applyBorder="1" applyAlignment="1">
      <alignment horizontal="left" wrapText="1"/>
    </xf>
    <xf numFmtId="10" fontId="73" fillId="34" borderId="0" xfId="67" applyNumberFormat="1" applyFont="1" applyFill="1" applyBorder="1" applyAlignment="1">
      <alignment horizontal="left" wrapText="1"/>
    </xf>
    <xf numFmtId="43" fontId="73" fillId="34" borderId="0" xfId="67" applyNumberFormat="1" applyFont="1" applyFill="1" applyBorder="1" applyAlignment="1">
      <alignment horizontal="left" wrapText="1"/>
    </xf>
    <xf numFmtId="0" fontId="5" fillId="0" borderId="0" xfId="0" applyFont="1" applyFill="1" applyBorder="1" applyAlignment="1" applyProtection="1">
      <alignment/>
      <protection/>
    </xf>
    <xf numFmtId="0" fontId="5" fillId="36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4" fillId="37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4" fillId="37" borderId="16" xfId="0" applyFont="1" applyFill="1" applyBorder="1" applyAlignment="1" applyProtection="1">
      <alignment vertical="center"/>
      <protection/>
    </xf>
    <xf numFmtId="0" fontId="74" fillId="37" borderId="16" xfId="0" applyFont="1" applyFill="1" applyBorder="1" applyAlignment="1" applyProtection="1">
      <alignment vertical="center" wrapText="1"/>
      <protection/>
    </xf>
    <xf numFmtId="0" fontId="6" fillId="37" borderId="17" xfId="0" applyFont="1" applyFill="1" applyBorder="1" applyAlignment="1" applyProtection="1">
      <alignment horizontal="center"/>
      <protection/>
    </xf>
    <xf numFmtId="0" fontId="6" fillId="37" borderId="18" xfId="0" applyFont="1" applyFill="1" applyBorder="1" applyAlignment="1" applyProtection="1">
      <alignment horizontal="center"/>
      <protection/>
    </xf>
    <xf numFmtId="0" fontId="34" fillId="6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4" fillId="37" borderId="20" xfId="0" applyFont="1" applyFill="1" applyBorder="1" applyAlignment="1" applyProtection="1">
      <alignment vertical="center"/>
      <protection/>
    </xf>
    <xf numFmtId="0" fontId="74" fillId="37" borderId="20" xfId="0" applyFont="1" applyFill="1" applyBorder="1" applyAlignment="1" applyProtection="1">
      <alignment vertical="center" wrapText="1"/>
      <protection/>
    </xf>
    <xf numFmtId="9" fontId="75" fillId="6" borderId="19" xfId="0" applyNumberFormat="1" applyFont="1" applyFill="1" applyBorder="1" applyAlignment="1">
      <alignment horizontal="center" vertical="center" wrapText="1"/>
    </xf>
    <xf numFmtId="9" fontId="76" fillId="6" borderId="19" xfId="0" applyNumberFormat="1" applyFont="1" applyFill="1" applyBorder="1" applyAlignment="1">
      <alignment horizontal="center" vertical="center" wrapText="1"/>
    </xf>
    <xf numFmtId="0" fontId="34" fillId="35" borderId="19" xfId="0" applyFont="1" applyFill="1" applyBorder="1" applyAlignment="1">
      <alignment vertical="center"/>
    </xf>
    <xf numFmtId="0" fontId="34" fillId="35" borderId="19" xfId="63" applyFont="1" applyFill="1" applyBorder="1" applyAlignment="1" applyProtection="1">
      <alignment vertical="center"/>
      <protection/>
    </xf>
    <xf numFmtId="0" fontId="34" fillId="0" borderId="19" xfId="0" applyFont="1" applyFill="1" applyBorder="1" applyAlignment="1" applyProtection="1">
      <alignment horizontal="center" vertical="center"/>
      <protection/>
    </xf>
    <xf numFmtId="0" fontId="34" fillId="36" borderId="19" xfId="63" applyFont="1" applyFill="1" applyBorder="1" applyAlignment="1" applyProtection="1">
      <alignment vertical="center"/>
      <protection/>
    </xf>
    <xf numFmtId="0" fontId="34" fillId="36" borderId="19" xfId="0" applyFont="1" applyFill="1" applyBorder="1" applyAlignment="1" applyProtection="1">
      <alignment vertical="center"/>
      <protection/>
    </xf>
    <xf numFmtId="0" fontId="34" fillId="35" borderId="19" xfId="64" applyFont="1" applyFill="1" applyBorder="1" applyAlignment="1" applyProtection="1">
      <alignment vertical="center"/>
      <protection/>
    </xf>
    <xf numFmtId="0" fontId="34" fillId="36" borderId="19" xfId="64" applyFont="1" applyFill="1" applyBorder="1" applyAlignment="1" applyProtection="1">
      <alignment vertical="center"/>
      <protection/>
    </xf>
    <xf numFmtId="10" fontId="77" fillId="34" borderId="0" xfId="67" applyNumberFormat="1" applyFont="1" applyFill="1" applyBorder="1" applyAlignment="1">
      <alignment horizontal="left" wrapText="1"/>
    </xf>
    <xf numFmtId="172" fontId="73" fillId="34" borderId="11" xfId="0" applyNumberFormat="1" applyFont="1" applyFill="1" applyBorder="1" applyAlignment="1">
      <alignment horizontal="center" wrapText="1"/>
    </xf>
    <xf numFmtId="43" fontId="34" fillId="6" borderId="19" xfId="56" applyFont="1" applyFill="1" applyBorder="1" applyAlignment="1">
      <alignment horizontal="center" vertical="center" wrapText="1"/>
    </xf>
    <xf numFmtId="10" fontId="5" fillId="0" borderId="19" xfId="67" applyNumberFormat="1" applyFont="1" applyBorder="1" applyAlignment="1" applyProtection="1">
      <alignment horizontal="center"/>
      <protection/>
    </xf>
    <xf numFmtId="172" fontId="72" fillId="35" borderId="12" xfId="54" applyNumberFormat="1" applyFont="1" applyFill="1" applyBorder="1" applyAlignment="1">
      <alignment horizontal="center" wrapText="1"/>
    </xf>
    <xf numFmtId="172" fontId="72" fillId="0" borderId="12" xfId="54" applyNumberFormat="1" applyFont="1" applyFill="1" applyBorder="1" applyAlignment="1">
      <alignment horizontal="center" wrapText="1"/>
    </xf>
    <xf numFmtId="172" fontId="72" fillId="34" borderId="12" xfId="54" applyNumberFormat="1" applyFont="1" applyFill="1" applyBorder="1" applyAlignment="1">
      <alignment horizontal="center" wrapText="1"/>
    </xf>
    <xf numFmtId="172" fontId="72" fillId="0" borderId="11" xfId="54" applyNumberFormat="1" applyFont="1" applyFill="1" applyBorder="1" applyAlignment="1">
      <alignment horizontal="center" wrapText="1"/>
    </xf>
    <xf numFmtId="172" fontId="72" fillId="35" borderId="11" xfId="54" applyNumberFormat="1" applyFont="1" applyFill="1" applyBorder="1" applyAlignment="1">
      <alignment horizontal="center" wrapText="1"/>
    </xf>
    <xf numFmtId="1" fontId="73" fillId="34" borderId="11" xfId="54" applyNumberFormat="1" applyFont="1" applyFill="1" applyBorder="1" applyAlignment="1">
      <alignment horizontal="center" wrapText="1"/>
    </xf>
    <xf numFmtId="174" fontId="73" fillId="34" borderId="11" xfId="54" applyNumberFormat="1" applyFont="1" applyFill="1" applyBorder="1" applyAlignment="1">
      <alignment horizontal="center" wrapText="1"/>
    </xf>
    <xf numFmtId="174" fontId="72" fillId="34" borderId="11" xfId="54" applyNumberFormat="1" applyFont="1" applyFill="1" applyBorder="1" applyAlignment="1">
      <alignment horizontal="center" wrapText="1"/>
    </xf>
    <xf numFmtId="174" fontId="72" fillId="35" borderId="12" xfId="54" applyNumberFormat="1" applyFont="1" applyFill="1" applyBorder="1" applyAlignment="1">
      <alignment horizontal="center" wrapText="1"/>
    </xf>
    <xf numFmtId="174" fontId="72" fillId="0" borderId="12" xfId="54" applyNumberFormat="1" applyFont="1" applyFill="1" applyBorder="1" applyAlignment="1">
      <alignment horizontal="center" wrapText="1"/>
    </xf>
    <xf numFmtId="174" fontId="72" fillId="34" borderId="12" xfId="54" applyNumberFormat="1" applyFont="1" applyFill="1" applyBorder="1" applyAlignment="1">
      <alignment horizontal="center" wrapText="1"/>
    </xf>
    <xf numFmtId="2" fontId="5" fillId="0" borderId="19" xfId="67" applyNumberFormat="1" applyFont="1" applyBorder="1" applyAlignment="1" applyProtection="1">
      <alignment horizontal="center"/>
      <protection/>
    </xf>
    <xf numFmtId="172" fontId="72" fillId="0" borderId="12" xfId="0" applyNumberFormat="1" applyFont="1" applyFill="1" applyBorder="1" applyAlignment="1">
      <alignment horizontal="center" wrapText="1"/>
    </xf>
    <xf numFmtId="0" fontId="78" fillId="0" borderId="0" xfId="0" applyFont="1" applyAlignment="1">
      <alignment/>
    </xf>
    <xf numFmtId="0" fontId="78" fillId="0" borderId="0" xfId="0" applyFont="1" applyAlignment="1">
      <alignment horizontal="left" indent="1"/>
    </xf>
    <xf numFmtId="0" fontId="78" fillId="0" borderId="0" xfId="0" applyNumberFormat="1" applyFont="1" applyAlignment="1">
      <alignment/>
    </xf>
    <xf numFmtId="0" fontId="78" fillId="0" borderId="0" xfId="0" applyFont="1" applyFill="1" applyAlignment="1">
      <alignment/>
    </xf>
    <xf numFmtId="0" fontId="79" fillId="0" borderId="0" xfId="0" applyFont="1" applyAlignment="1">
      <alignment horizontal="left" indent="1"/>
    </xf>
    <xf numFmtId="10" fontId="78" fillId="0" borderId="0" xfId="0" applyNumberFormat="1" applyFont="1" applyAlignment="1">
      <alignment horizontal="left" indent="1"/>
    </xf>
    <xf numFmtId="172" fontId="80" fillId="0" borderId="0" xfId="54" applyNumberFormat="1" applyFont="1" applyAlignment="1">
      <alignment/>
    </xf>
    <xf numFmtId="172" fontId="78" fillId="0" borderId="0" xfId="0" applyNumberFormat="1" applyFont="1" applyAlignment="1">
      <alignment/>
    </xf>
    <xf numFmtId="172" fontId="80" fillId="0" borderId="0" xfId="0" applyNumberFormat="1" applyFont="1" applyAlignment="1">
      <alignment/>
    </xf>
    <xf numFmtId="0" fontId="80" fillId="0" borderId="0" xfId="0" applyFont="1" applyAlignment="1">
      <alignment/>
    </xf>
    <xf numFmtId="182" fontId="81" fillId="0" borderId="0" xfId="0" applyNumberFormat="1" applyFont="1" applyAlignment="1">
      <alignment/>
    </xf>
    <xf numFmtId="10" fontId="78" fillId="0" borderId="0" xfId="67" applyNumberFormat="1" applyFont="1" applyAlignment="1">
      <alignment/>
    </xf>
    <xf numFmtId="10" fontId="78" fillId="0" borderId="0" xfId="0" applyNumberFormat="1" applyFont="1" applyAlignment="1">
      <alignment/>
    </xf>
    <xf numFmtId="0" fontId="80" fillId="34" borderId="0" xfId="0" applyNumberFormat="1" applyFont="1" applyFill="1" applyAlignment="1">
      <alignment/>
    </xf>
    <xf numFmtId="172" fontId="78" fillId="0" borderId="0" xfId="54" applyNumberFormat="1" applyFont="1" applyAlignment="1">
      <alignment/>
    </xf>
    <xf numFmtId="1" fontId="78" fillId="0" borderId="0" xfId="54" applyNumberFormat="1" applyFont="1" applyAlignment="1">
      <alignment/>
    </xf>
    <xf numFmtId="1" fontId="78" fillId="0" borderId="0" xfId="0" applyNumberFormat="1" applyFont="1" applyAlignment="1">
      <alignment/>
    </xf>
    <xf numFmtId="1" fontId="80" fillId="34" borderId="0" xfId="54" applyNumberFormat="1" applyFont="1" applyFill="1" applyAlignment="1">
      <alignment/>
    </xf>
    <xf numFmtId="1" fontId="80" fillId="34" borderId="0" xfId="0" applyNumberFormat="1" applyFont="1" applyFill="1" applyAlignment="1">
      <alignment/>
    </xf>
    <xf numFmtId="10" fontId="78" fillId="0" borderId="0" xfId="67" applyNumberFormat="1" applyFont="1" applyFill="1" applyAlignment="1">
      <alignment/>
    </xf>
    <xf numFmtId="172" fontId="80" fillId="34" borderId="0" xfId="54" applyNumberFormat="1" applyFont="1" applyFill="1" applyAlignment="1">
      <alignment/>
    </xf>
    <xf numFmtId="180" fontId="78" fillId="0" borderId="0" xfId="54" applyNumberFormat="1" applyFont="1" applyAlignment="1">
      <alignment/>
    </xf>
    <xf numFmtId="174" fontId="78" fillId="0" borderId="0" xfId="54" applyNumberFormat="1" applyFont="1" applyAlignment="1">
      <alignment/>
    </xf>
    <xf numFmtId="174" fontId="80" fillId="34" borderId="0" xfId="54" applyNumberFormat="1" applyFont="1" applyFill="1" applyAlignment="1">
      <alignment/>
    </xf>
    <xf numFmtId="174" fontId="78" fillId="0" borderId="0" xfId="54" applyNumberFormat="1" applyFont="1" applyFill="1" applyAlignment="1">
      <alignment/>
    </xf>
    <xf numFmtId="181" fontId="78" fillId="0" borderId="0" xfId="54" applyNumberFormat="1" applyFont="1" applyAlignment="1">
      <alignment/>
    </xf>
    <xf numFmtId="172" fontId="78" fillId="0" borderId="0" xfId="54" applyNumberFormat="1" applyFont="1" applyFill="1" applyAlignment="1">
      <alignment/>
    </xf>
    <xf numFmtId="174" fontId="80" fillId="34" borderId="0" xfId="54" applyNumberFormat="1" applyFont="1" applyFill="1" applyAlignment="1">
      <alignment horizontal="center"/>
    </xf>
    <xf numFmtId="0" fontId="80" fillId="0" borderId="0" xfId="0" applyNumberFormat="1" applyFont="1" applyFill="1" applyBorder="1" applyAlignment="1">
      <alignment/>
    </xf>
    <xf numFmtId="43" fontId="78" fillId="0" borderId="0" xfId="0" applyNumberFormat="1" applyFont="1" applyAlignment="1">
      <alignment horizontal="left" indent="1"/>
    </xf>
    <xf numFmtId="9" fontId="78" fillId="0" borderId="0" xfId="67" applyFont="1" applyAlignment="1">
      <alignment/>
    </xf>
    <xf numFmtId="0" fontId="78" fillId="0" borderId="0" xfId="0" applyNumberFormat="1" applyFont="1" applyAlignment="1">
      <alignment horizontal="center"/>
    </xf>
    <xf numFmtId="0" fontId="72" fillId="0" borderId="11" xfId="0" applyFont="1" applyFill="1" applyBorder="1" applyAlignment="1">
      <alignment wrapText="1"/>
    </xf>
    <xf numFmtId="0" fontId="80" fillId="34" borderId="0" xfId="0" applyNumberFormat="1" applyFont="1" applyFill="1" applyAlignment="1">
      <alignment horizontal="center"/>
    </xf>
    <xf numFmtId="172" fontId="78" fillId="0" borderId="0" xfId="0" applyNumberFormat="1" applyFont="1" applyAlignment="1">
      <alignment horizontal="center"/>
    </xf>
    <xf numFmtId="0" fontId="78" fillId="0" borderId="0" xfId="0" applyNumberFormat="1" applyFont="1" applyFill="1" applyAlignment="1">
      <alignment horizontal="center"/>
    </xf>
    <xf numFmtId="173" fontId="78" fillId="0" borderId="0" xfId="0" applyNumberFormat="1" applyFont="1" applyAlignment="1">
      <alignment/>
    </xf>
    <xf numFmtId="0" fontId="72" fillId="0" borderId="0" xfId="0" applyNumberFormat="1" applyFont="1" applyAlignment="1">
      <alignment/>
    </xf>
    <xf numFmtId="0" fontId="72" fillId="0" borderId="11" xfId="0" applyFont="1" applyFill="1" applyBorder="1" applyAlignment="1">
      <alignment horizontal="right" wrapText="1"/>
    </xf>
    <xf numFmtId="0" fontId="72" fillId="0" borderId="0" xfId="0" applyNumberFormat="1" applyFont="1" applyAlignment="1">
      <alignment horizontal="right"/>
    </xf>
    <xf numFmtId="0" fontId="72" fillId="35" borderId="11" xfId="0" applyFont="1" applyFill="1" applyBorder="1" applyAlignment="1">
      <alignment horizontal="right" wrapText="1"/>
    </xf>
    <xf numFmtId="0" fontId="72" fillId="0" borderId="0" xfId="0" applyFont="1" applyAlignment="1">
      <alignment horizontal="left" indent="1"/>
    </xf>
    <xf numFmtId="0" fontId="72" fillId="0" borderId="0" xfId="0" applyNumberFormat="1" applyFont="1" applyAlignment="1">
      <alignment/>
    </xf>
    <xf numFmtId="0" fontId="72" fillId="0" borderId="0" xfId="0" applyFont="1" applyFill="1" applyAlignment="1">
      <alignment/>
    </xf>
    <xf numFmtId="0" fontId="72" fillId="0" borderId="0" xfId="0" applyFont="1" applyFill="1" applyAlignment="1">
      <alignment horizontal="right"/>
    </xf>
    <xf numFmtId="0" fontId="72" fillId="0" borderId="0" xfId="0" applyFont="1" applyFill="1" applyAlignment="1">
      <alignment horizontal="center"/>
    </xf>
    <xf numFmtId="49" fontId="72" fillId="0" borderId="0" xfId="0" applyNumberFormat="1" applyFont="1" applyAlignment="1">
      <alignment horizontal="right"/>
    </xf>
    <xf numFmtId="0" fontId="72" fillId="0" borderId="0" xfId="0" applyFont="1" applyAlignment="1">
      <alignment horizontal="right"/>
    </xf>
    <xf numFmtId="0" fontId="72" fillId="0" borderId="0" xfId="0" applyFont="1" applyAlignment="1">
      <alignment/>
    </xf>
    <xf numFmtId="10" fontId="72" fillId="0" borderId="0" xfId="67" applyNumberFormat="1" applyFont="1" applyAlignment="1">
      <alignment/>
    </xf>
    <xf numFmtId="172" fontId="72" fillId="0" borderId="0" xfId="0" applyNumberFormat="1" applyFont="1" applyAlignment="1">
      <alignment/>
    </xf>
    <xf numFmtId="172" fontId="72" fillId="0" borderId="0" xfId="0" applyNumberFormat="1" applyFont="1" applyAlignment="1">
      <alignment horizontal="right"/>
    </xf>
    <xf numFmtId="172" fontId="73" fillId="0" borderId="0" xfId="0" applyNumberFormat="1" applyFont="1" applyAlignment="1">
      <alignment horizontal="right"/>
    </xf>
    <xf numFmtId="0" fontId="72" fillId="0" borderId="0" xfId="0" applyNumberFormat="1" applyFont="1" applyFill="1" applyBorder="1" applyAlignment="1">
      <alignment horizontal="right"/>
    </xf>
    <xf numFmtId="0" fontId="72" fillId="0" borderId="0" xfId="0" applyFont="1" applyFill="1" applyAlignment="1">
      <alignment/>
    </xf>
    <xf numFmtId="0" fontId="72" fillId="0" borderId="21" xfId="0" applyNumberFormat="1" applyFont="1" applyBorder="1" applyAlignment="1">
      <alignment horizontal="right"/>
    </xf>
    <xf numFmtId="0" fontId="72" fillId="0" borderId="0" xfId="0" applyNumberFormat="1" applyFont="1" applyFill="1" applyAlignment="1">
      <alignment horizontal="right"/>
    </xf>
    <xf numFmtId="1" fontId="72" fillId="0" borderId="0" xfId="54" applyNumberFormat="1" applyFont="1" applyAlignment="1">
      <alignment horizontal="right"/>
    </xf>
    <xf numFmtId="1" fontId="72" fillId="0" borderId="0" xfId="0" applyNumberFormat="1" applyFont="1" applyAlignment="1">
      <alignment horizontal="right"/>
    </xf>
    <xf numFmtId="172" fontId="72" fillId="0" borderId="0" xfId="54" applyNumberFormat="1" applyFont="1" applyAlignment="1">
      <alignment horizontal="right"/>
    </xf>
    <xf numFmtId="174" fontId="72" fillId="0" borderId="0" xfId="54" applyNumberFormat="1" applyFont="1" applyAlignment="1">
      <alignment horizontal="right"/>
    </xf>
    <xf numFmtId="0" fontId="82" fillId="0" borderId="0" xfId="0" applyNumberFormat="1" applyFont="1" applyAlignment="1">
      <alignment horizontal="right"/>
    </xf>
    <xf numFmtId="174" fontId="72" fillId="0" borderId="0" xfId="54" applyNumberFormat="1" applyFont="1" applyAlignment="1">
      <alignment/>
    </xf>
    <xf numFmtId="174" fontId="72" fillId="0" borderId="0" xfId="54" applyNumberFormat="1" applyFont="1" applyAlignment="1">
      <alignment/>
    </xf>
    <xf numFmtId="172" fontId="72" fillId="0" borderId="11" xfId="54" applyNumberFormat="1" applyFont="1" applyFill="1" applyBorder="1" applyAlignment="1">
      <alignment horizontal="right" wrapText="1"/>
    </xf>
    <xf numFmtId="172" fontId="72" fillId="35" borderId="11" xfId="54" applyNumberFormat="1" applyFont="1" applyFill="1" applyBorder="1" applyAlignment="1">
      <alignment horizontal="right" wrapText="1"/>
    </xf>
    <xf numFmtId="172" fontId="72" fillId="0" borderId="0" xfId="54" applyNumberFormat="1" applyFont="1" applyFill="1" applyAlignment="1">
      <alignment horizontal="right"/>
    </xf>
    <xf numFmtId="172" fontId="73" fillId="0" borderId="0" xfId="54" applyNumberFormat="1" applyFont="1" applyAlignment="1">
      <alignment horizontal="right"/>
    </xf>
    <xf numFmtId="0" fontId="72" fillId="0" borderId="22" xfId="0" applyNumberFormat="1" applyFont="1" applyBorder="1" applyAlignment="1">
      <alignment horizontal="right"/>
    </xf>
    <xf numFmtId="0" fontId="72" fillId="0" borderId="23" xfId="0" applyNumberFormat="1" applyFont="1" applyBorder="1" applyAlignment="1">
      <alignment horizontal="right"/>
    </xf>
    <xf numFmtId="172" fontId="72" fillId="35" borderId="12" xfId="54" applyNumberFormat="1" applyFont="1" applyFill="1" applyBorder="1" applyAlignment="1">
      <alignment horizontal="right" wrapText="1"/>
    </xf>
    <xf numFmtId="174" fontId="72" fillId="0" borderId="11" xfId="54" applyNumberFormat="1" applyFont="1" applyFill="1" applyBorder="1" applyAlignment="1">
      <alignment horizontal="right" wrapText="1"/>
    </xf>
    <xf numFmtId="0" fontId="72" fillId="0" borderId="0" xfId="0" applyFont="1" applyAlignment="1">
      <alignment horizontal="center"/>
    </xf>
    <xf numFmtId="0" fontId="72" fillId="0" borderId="0" xfId="54" applyNumberFormat="1" applyFont="1" applyAlignment="1">
      <alignment horizontal="right"/>
    </xf>
    <xf numFmtId="0" fontId="78" fillId="0" borderId="0" xfId="54" applyNumberFormat="1" applyFont="1" applyAlignment="1">
      <alignment/>
    </xf>
    <xf numFmtId="0" fontId="78" fillId="38" borderId="0" xfId="0" applyFont="1" applyFill="1" applyAlignment="1">
      <alignment/>
    </xf>
    <xf numFmtId="0" fontId="83" fillId="38" borderId="24" xfId="0" applyFont="1" applyFill="1" applyBorder="1" applyAlignment="1">
      <alignment horizontal="center" vertical="center" wrapText="1"/>
    </xf>
    <xf numFmtId="0" fontId="83" fillId="38" borderId="24" xfId="0" applyFont="1" applyFill="1" applyBorder="1" applyAlignment="1">
      <alignment wrapText="1"/>
    </xf>
    <xf numFmtId="0" fontId="83" fillId="38" borderId="25" xfId="0" applyFont="1" applyFill="1" applyBorder="1" applyAlignment="1">
      <alignment horizontal="center" wrapText="1"/>
    </xf>
    <xf numFmtId="0" fontId="83" fillId="38" borderId="26" xfId="0" applyFont="1" applyFill="1" applyBorder="1" applyAlignment="1">
      <alignment horizontal="center" wrapText="1"/>
    </xf>
    <xf numFmtId="0" fontId="83" fillId="38" borderId="27" xfId="0" applyFont="1" applyFill="1" applyBorder="1" applyAlignment="1">
      <alignment horizontal="center" wrapText="1"/>
    </xf>
    <xf numFmtId="0" fontId="83" fillId="38" borderId="12" xfId="0" applyFont="1" applyFill="1" applyBorder="1" applyAlignment="1">
      <alignment horizontal="center" wrapText="1"/>
    </xf>
    <xf numFmtId="172" fontId="83" fillId="38" borderId="25" xfId="54" applyNumberFormat="1" applyFont="1" applyFill="1" applyBorder="1" applyAlignment="1">
      <alignment horizontal="center" wrapText="1"/>
    </xf>
    <xf numFmtId="172" fontId="83" fillId="38" borderId="26" xfId="54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 indent="1"/>
    </xf>
    <xf numFmtId="0" fontId="84" fillId="38" borderId="26" xfId="0" applyFont="1" applyFill="1" applyBorder="1" applyAlignment="1">
      <alignment horizontal="center" wrapText="1"/>
    </xf>
    <xf numFmtId="0" fontId="73" fillId="0" borderId="0" xfId="0" applyFont="1" applyFill="1" applyBorder="1" applyAlignment="1">
      <alignment horizontal="left" indent="1"/>
    </xf>
    <xf numFmtId="0" fontId="84" fillId="38" borderId="25" xfId="0" applyFont="1" applyFill="1" applyBorder="1" applyAlignment="1">
      <alignment horizontal="center" wrapText="1"/>
    </xf>
    <xf numFmtId="10" fontId="0" fillId="0" borderId="19" xfId="0" applyNumberFormat="1" applyBorder="1" applyAlignment="1">
      <alignment/>
    </xf>
    <xf numFmtId="2" fontId="0" fillId="0" borderId="19" xfId="0" applyNumberFormat="1" applyBorder="1" applyAlignment="1">
      <alignment/>
    </xf>
    <xf numFmtId="10" fontId="0" fillId="0" borderId="19" xfId="0" applyNumberFormat="1" applyFill="1" applyBorder="1" applyAlignment="1">
      <alignment/>
    </xf>
    <xf numFmtId="10" fontId="71" fillId="0" borderId="19" xfId="0" applyNumberFormat="1" applyFont="1" applyFill="1" applyBorder="1" applyAlignment="1">
      <alignment/>
    </xf>
    <xf numFmtId="9" fontId="10" fillId="6" borderId="19" xfId="0" applyNumberFormat="1" applyFont="1" applyFill="1" applyBorder="1" applyAlignment="1">
      <alignment horizontal="center" vertical="center" wrapText="1"/>
    </xf>
    <xf numFmtId="10" fontId="81" fillId="34" borderId="0" xfId="67" applyNumberFormat="1" applyFont="1" applyFill="1" applyBorder="1" applyAlignment="1">
      <alignment horizontal="left" wrapText="1"/>
    </xf>
    <xf numFmtId="43" fontId="80" fillId="34" borderId="0" xfId="67" applyNumberFormat="1" applyFont="1" applyFill="1" applyBorder="1" applyAlignment="1">
      <alignment horizontal="left" wrapText="1"/>
    </xf>
    <xf numFmtId="172" fontId="80" fillId="34" borderId="11" xfId="54" applyNumberFormat="1" applyFont="1" applyFill="1" applyBorder="1" applyAlignment="1">
      <alignment horizontal="center" wrapText="1"/>
    </xf>
    <xf numFmtId="0" fontId="85" fillId="26" borderId="0" xfId="0" applyFont="1" applyFill="1" applyBorder="1" applyAlignment="1">
      <alignment/>
    </xf>
    <xf numFmtId="0" fontId="85" fillId="26" borderId="28" xfId="0" applyFont="1" applyFill="1" applyBorder="1" applyAlignment="1">
      <alignment/>
    </xf>
    <xf numFmtId="0" fontId="86" fillId="26" borderId="0" xfId="65" applyFont="1" applyFill="1">
      <alignment/>
      <protection/>
    </xf>
    <xf numFmtId="0" fontId="86" fillId="26" borderId="20" xfId="63" applyFont="1" applyFill="1" applyBorder="1" applyAlignment="1" applyProtection="1">
      <alignment vertical="center"/>
      <protection/>
    </xf>
    <xf numFmtId="0" fontId="86" fillId="26" borderId="19" xfId="63" applyFont="1" applyFill="1" applyBorder="1" applyAlignment="1" applyProtection="1">
      <alignment vertical="center"/>
      <protection/>
    </xf>
    <xf numFmtId="0" fontId="0" fillId="17" borderId="0" xfId="0" applyFill="1" applyAlignment="1">
      <alignment/>
    </xf>
    <xf numFmtId="0" fontId="54" fillId="26" borderId="0" xfId="0" applyFont="1" applyFill="1" applyBorder="1" applyAlignment="1">
      <alignment/>
    </xf>
    <xf numFmtId="0" fontId="54" fillId="26" borderId="28" xfId="0" applyFont="1" applyFill="1" applyBorder="1" applyAlignment="1">
      <alignment/>
    </xf>
    <xf numFmtId="0" fontId="0" fillId="26" borderId="0" xfId="0" applyFill="1" applyBorder="1" applyAlignment="1">
      <alignment/>
    </xf>
    <xf numFmtId="0" fontId="86" fillId="26" borderId="29" xfId="64" applyFont="1" applyFill="1" applyBorder="1" applyAlignment="1" applyProtection="1">
      <alignment vertical="center"/>
      <protection/>
    </xf>
    <xf numFmtId="2" fontId="10" fillId="6" borderId="19" xfId="0" applyNumberFormat="1" applyFont="1" applyFill="1" applyBorder="1" applyAlignment="1">
      <alignment horizontal="center" vertical="center" wrapText="1"/>
    </xf>
    <xf numFmtId="0" fontId="87" fillId="26" borderId="30" xfId="0" applyFont="1" applyFill="1" applyBorder="1" applyAlignment="1">
      <alignment/>
    </xf>
    <xf numFmtId="0" fontId="87" fillId="26" borderId="0" xfId="0" applyFont="1" applyFill="1" applyBorder="1" applyAlignment="1">
      <alignment/>
    </xf>
    <xf numFmtId="0" fontId="87" fillId="26" borderId="28" xfId="0" applyFont="1" applyFill="1" applyBorder="1" applyAlignment="1">
      <alignment/>
    </xf>
    <xf numFmtId="0" fontId="88" fillId="26" borderId="31" xfId="0" applyFont="1" applyFill="1" applyBorder="1" applyAlignment="1" applyProtection="1">
      <alignment horizontal="center" vertical="center"/>
      <protection/>
    </xf>
    <xf numFmtId="10" fontId="89" fillId="39" borderId="19" xfId="0" applyNumberFormat="1" applyFont="1" applyFill="1" applyBorder="1" applyAlignment="1">
      <alignment horizontal="center"/>
    </xf>
    <xf numFmtId="10" fontId="89" fillId="0" borderId="19" xfId="0" applyNumberFormat="1" applyFont="1" applyBorder="1" applyAlignment="1">
      <alignment horizontal="center"/>
    </xf>
    <xf numFmtId="10" fontId="89" fillId="39" borderId="32" xfId="0" applyNumberFormat="1" applyFont="1" applyFill="1" applyBorder="1" applyAlignment="1">
      <alignment horizontal="center"/>
    </xf>
    <xf numFmtId="10" fontId="89" fillId="0" borderId="32" xfId="0" applyNumberFormat="1" applyFont="1" applyBorder="1" applyAlignment="1">
      <alignment horizontal="center"/>
    </xf>
    <xf numFmtId="10" fontId="89" fillId="0" borderId="29" xfId="0" applyNumberFormat="1" applyFont="1" applyBorder="1" applyAlignment="1">
      <alignment horizontal="center"/>
    </xf>
    <xf numFmtId="10" fontId="89" fillId="39" borderId="29" xfId="0" applyNumberFormat="1" applyFont="1" applyFill="1" applyBorder="1" applyAlignment="1">
      <alignment horizontal="center"/>
    </xf>
    <xf numFmtId="10" fontId="89" fillId="39" borderId="33" xfId="0" applyNumberFormat="1" applyFont="1" applyFill="1" applyBorder="1" applyAlignment="1">
      <alignment horizontal="center"/>
    </xf>
    <xf numFmtId="0" fontId="87" fillId="26" borderId="30" xfId="0" applyFont="1" applyFill="1" applyBorder="1" applyAlignment="1">
      <alignment horizontal="center"/>
    </xf>
    <xf numFmtId="0" fontId="87" fillId="26" borderId="0" xfId="0" applyFont="1" applyFill="1" applyBorder="1" applyAlignment="1">
      <alignment horizontal="center"/>
    </xf>
    <xf numFmtId="0" fontId="87" fillId="26" borderId="28" xfId="0" applyFont="1" applyFill="1" applyBorder="1" applyAlignment="1">
      <alignment horizontal="center"/>
    </xf>
    <xf numFmtId="0" fontId="87" fillId="26" borderId="34" xfId="0" applyFont="1" applyFill="1" applyBorder="1" applyAlignment="1">
      <alignment horizontal="center"/>
    </xf>
    <xf numFmtId="0" fontId="87" fillId="26" borderId="35" xfId="0" applyFont="1" applyFill="1" applyBorder="1" applyAlignment="1">
      <alignment horizontal="center"/>
    </xf>
    <xf numFmtId="0" fontId="87" fillId="26" borderId="36" xfId="0" applyFont="1" applyFill="1" applyBorder="1" applyAlignment="1">
      <alignment horizontal="center"/>
    </xf>
    <xf numFmtId="0" fontId="90" fillId="26" borderId="37" xfId="0" applyFont="1" applyFill="1" applyBorder="1" applyAlignment="1" applyProtection="1">
      <alignment horizontal="center" vertical="center"/>
      <protection/>
    </xf>
    <xf numFmtId="0" fontId="90" fillId="26" borderId="38" xfId="0" applyFont="1" applyFill="1" applyBorder="1" applyAlignment="1" applyProtection="1">
      <alignment horizontal="center" vertical="center"/>
      <protection/>
    </xf>
    <xf numFmtId="0" fontId="90" fillId="26" borderId="39" xfId="0" applyFont="1" applyFill="1" applyBorder="1" applyAlignment="1" applyProtection="1">
      <alignment horizontal="center" vertical="center"/>
      <protection/>
    </xf>
    <xf numFmtId="0" fontId="86" fillId="26" borderId="34" xfId="0" applyFont="1" applyFill="1" applyBorder="1" applyAlignment="1">
      <alignment horizontal="center" vertical="center" wrapText="1"/>
    </xf>
    <xf numFmtId="0" fontId="86" fillId="26" borderId="40" xfId="0" applyFont="1" applyFill="1" applyBorder="1" applyAlignment="1">
      <alignment horizontal="center" vertical="center" wrapText="1"/>
    </xf>
    <xf numFmtId="0" fontId="86" fillId="26" borderId="37" xfId="0" applyFont="1" applyFill="1" applyBorder="1" applyAlignment="1">
      <alignment horizontal="center" vertical="center" wrapText="1"/>
    </xf>
    <xf numFmtId="0" fontId="86" fillId="26" borderId="41" xfId="0" applyFont="1" applyFill="1" applyBorder="1" applyAlignment="1">
      <alignment horizontal="center" vertical="center" wrapText="1"/>
    </xf>
    <xf numFmtId="0" fontId="88" fillId="26" borderId="42" xfId="0" applyFont="1" applyFill="1" applyBorder="1" applyAlignment="1" applyProtection="1">
      <alignment horizontal="center" vertical="center"/>
      <protection/>
    </xf>
    <xf numFmtId="0" fontId="88" fillId="26" borderId="43" xfId="0" applyFont="1" applyFill="1" applyBorder="1" applyAlignment="1" applyProtection="1">
      <alignment horizontal="center" vertical="center"/>
      <protection/>
    </xf>
    <xf numFmtId="0" fontId="88" fillId="26" borderId="44" xfId="0" applyFont="1" applyFill="1" applyBorder="1" applyAlignment="1" applyProtection="1">
      <alignment horizontal="center" vertical="center"/>
      <protection/>
    </xf>
    <xf numFmtId="49" fontId="73" fillId="34" borderId="45" xfId="0" applyNumberFormat="1" applyFont="1" applyFill="1" applyBorder="1" applyAlignment="1">
      <alignment horizontal="left" wrapText="1"/>
    </xf>
    <xf numFmtId="49" fontId="73" fillId="34" borderId="0" xfId="0" applyNumberFormat="1" applyFont="1" applyFill="1" applyBorder="1" applyAlignment="1">
      <alignment horizontal="left" wrapText="1"/>
    </xf>
    <xf numFmtId="0" fontId="83" fillId="38" borderId="46" xfId="0" applyFont="1" applyFill="1" applyBorder="1" applyAlignment="1">
      <alignment horizontal="center" vertical="center" wrapText="1"/>
    </xf>
    <xf numFmtId="0" fontId="83" fillId="38" borderId="47" xfId="0" applyFont="1" applyFill="1" applyBorder="1" applyAlignment="1">
      <alignment horizontal="center" vertical="center" wrapText="1"/>
    </xf>
    <xf numFmtId="0" fontId="83" fillId="38" borderId="48" xfId="0" applyFont="1" applyFill="1" applyBorder="1" applyAlignment="1">
      <alignment horizontal="center" vertical="center" wrapText="1"/>
    </xf>
    <xf numFmtId="0" fontId="83" fillId="38" borderId="49" xfId="0" applyFont="1" applyFill="1" applyBorder="1" applyAlignment="1">
      <alignment horizontal="center" vertical="center" wrapText="1"/>
    </xf>
    <xf numFmtId="0" fontId="83" fillId="38" borderId="50" xfId="0" applyFont="1" applyFill="1" applyBorder="1" applyAlignment="1">
      <alignment horizontal="center" vertical="center" wrapText="1"/>
    </xf>
    <xf numFmtId="0" fontId="83" fillId="38" borderId="51" xfId="0" applyFont="1" applyFill="1" applyBorder="1" applyAlignment="1">
      <alignment horizontal="center" vertical="center" wrapText="1"/>
    </xf>
    <xf numFmtId="0" fontId="83" fillId="38" borderId="52" xfId="0" applyFont="1" applyFill="1" applyBorder="1" applyAlignment="1">
      <alignment horizontal="center" vertical="center" wrapText="1"/>
    </xf>
    <xf numFmtId="0" fontId="83" fillId="38" borderId="14" xfId="0" applyFont="1" applyFill="1" applyBorder="1" applyAlignment="1">
      <alignment horizontal="center" vertical="center" wrapText="1"/>
    </xf>
    <xf numFmtId="0" fontId="83" fillId="38" borderId="25" xfId="0" applyFont="1" applyFill="1" applyBorder="1" applyAlignment="1">
      <alignment horizontal="center" vertical="center" wrapText="1"/>
    </xf>
    <xf numFmtId="0" fontId="83" fillId="38" borderId="53" xfId="0" applyFont="1" applyFill="1" applyBorder="1" applyAlignment="1">
      <alignment horizontal="center" vertical="center" wrapText="1"/>
    </xf>
    <xf numFmtId="0" fontId="83" fillId="38" borderId="54" xfId="0" applyFont="1" applyFill="1" applyBorder="1" applyAlignment="1">
      <alignment horizontal="center" vertical="center" wrapText="1"/>
    </xf>
    <xf numFmtId="0" fontId="91" fillId="38" borderId="55" xfId="0" applyFont="1" applyFill="1" applyBorder="1" applyAlignment="1">
      <alignment horizontal="center" vertical="center" wrapText="1"/>
    </xf>
    <xf numFmtId="0" fontId="91" fillId="38" borderId="0" xfId="0" applyFont="1" applyFill="1" applyBorder="1" applyAlignment="1">
      <alignment horizontal="center" vertical="center" wrapText="1"/>
    </xf>
    <xf numFmtId="0" fontId="91" fillId="38" borderId="50" xfId="0" applyFont="1" applyFill="1" applyBorder="1" applyAlignment="1">
      <alignment horizontal="center" vertical="center" wrapText="1"/>
    </xf>
    <xf numFmtId="0" fontId="91" fillId="38" borderId="53" xfId="0" applyFont="1" applyFill="1" applyBorder="1" applyAlignment="1">
      <alignment horizontal="center" vertical="center" wrapText="1"/>
    </xf>
    <xf numFmtId="0" fontId="91" fillId="38" borderId="56" xfId="0" applyFont="1" applyFill="1" applyBorder="1" applyAlignment="1">
      <alignment horizontal="center" vertical="center" wrapText="1"/>
    </xf>
    <xf numFmtId="0" fontId="91" fillId="38" borderId="54" xfId="0" applyFont="1" applyFill="1" applyBorder="1" applyAlignment="1">
      <alignment horizontal="center" vertical="center" wrapText="1"/>
    </xf>
    <xf numFmtId="0" fontId="91" fillId="38" borderId="57" xfId="0" applyFont="1" applyFill="1" applyBorder="1" applyAlignment="1">
      <alignment horizontal="center" vertical="center" wrapText="1"/>
    </xf>
    <xf numFmtId="0" fontId="91" fillId="38" borderId="49" xfId="0" applyFont="1" applyFill="1" applyBorder="1" applyAlignment="1">
      <alignment horizontal="center" vertical="center" wrapText="1"/>
    </xf>
    <xf numFmtId="0" fontId="91" fillId="38" borderId="51" xfId="0" applyFont="1" applyFill="1" applyBorder="1" applyAlignment="1">
      <alignment horizontal="center" vertical="center" wrapText="1"/>
    </xf>
    <xf numFmtId="0" fontId="92" fillId="38" borderId="0" xfId="0" applyFont="1" applyFill="1" applyBorder="1" applyAlignment="1">
      <alignment horizontal="center" vertical="center" wrapText="1"/>
    </xf>
    <xf numFmtId="0" fontId="83" fillId="38" borderId="58" xfId="0" applyFont="1" applyFill="1" applyBorder="1" applyAlignment="1">
      <alignment horizontal="center" vertical="center" wrapText="1"/>
    </xf>
    <xf numFmtId="0" fontId="83" fillId="38" borderId="59" xfId="0" applyFont="1" applyFill="1" applyBorder="1" applyAlignment="1">
      <alignment horizontal="center" vertical="center" wrapText="1"/>
    </xf>
    <xf numFmtId="0" fontId="83" fillId="38" borderId="60" xfId="0" applyFont="1" applyFill="1" applyBorder="1" applyAlignment="1">
      <alignment horizontal="center" vertical="center" wrapText="1"/>
    </xf>
    <xf numFmtId="0" fontId="83" fillId="38" borderId="61" xfId="0" applyFont="1" applyFill="1" applyBorder="1" applyAlignment="1">
      <alignment horizontal="center" vertical="center" wrapText="1"/>
    </xf>
    <xf numFmtId="0" fontId="83" fillId="38" borderId="62" xfId="0" applyFont="1" applyFill="1" applyBorder="1" applyAlignment="1">
      <alignment horizontal="center" vertical="center" wrapText="1"/>
    </xf>
    <xf numFmtId="0" fontId="83" fillId="38" borderId="63" xfId="0" applyFont="1" applyFill="1" applyBorder="1" applyAlignment="1">
      <alignment horizontal="center" vertical="center" wrapText="1"/>
    </xf>
    <xf numFmtId="0" fontId="92" fillId="38" borderId="54" xfId="0" applyFont="1" applyFill="1" applyBorder="1" applyAlignment="1">
      <alignment horizontal="center" vertical="center" wrapText="1"/>
    </xf>
    <xf numFmtId="0" fontId="83" fillId="38" borderId="64" xfId="0" applyFont="1" applyFill="1" applyBorder="1" applyAlignment="1">
      <alignment horizontal="center" vertical="center" wrapText="1"/>
    </xf>
    <xf numFmtId="0" fontId="83" fillId="38" borderId="65" xfId="0" applyFont="1" applyFill="1" applyBorder="1" applyAlignment="1">
      <alignment horizontal="center" vertical="center" wrapText="1"/>
    </xf>
    <xf numFmtId="0" fontId="83" fillId="38" borderId="66" xfId="0" applyFont="1" applyFill="1" applyBorder="1" applyAlignment="1">
      <alignment horizontal="center" vertical="center" wrapText="1"/>
    </xf>
    <xf numFmtId="0" fontId="78" fillId="0" borderId="45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83" fillId="38" borderId="55" xfId="0" applyFont="1" applyFill="1" applyBorder="1" applyAlignment="1">
      <alignment horizontal="center" vertical="center" wrapText="1"/>
    </xf>
    <xf numFmtId="0" fontId="83" fillId="38" borderId="0" xfId="0" applyFont="1" applyFill="1" applyBorder="1" applyAlignment="1">
      <alignment horizontal="center" vertical="center" wrapText="1"/>
    </xf>
    <xf numFmtId="0" fontId="92" fillId="38" borderId="49" xfId="0" applyFont="1" applyFill="1" applyBorder="1" applyAlignment="1">
      <alignment horizontal="center" vertical="center" wrapText="1"/>
    </xf>
    <xf numFmtId="0" fontId="92" fillId="38" borderId="50" xfId="0" applyFont="1" applyFill="1" applyBorder="1" applyAlignment="1">
      <alignment horizontal="center" vertical="center" wrapText="1"/>
    </xf>
    <xf numFmtId="0" fontId="78" fillId="0" borderId="67" xfId="0" applyFont="1" applyBorder="1" applyAlignment="1">
      <alignment horizontal="center"/>
    </xf>
    <xf numFmtId="0" fontId="78" fillId="0" borderId="68" xfId="0" applyFont="1" applyBorder="1" applyAlignment="1">
      <alignment horizontal="center"/>
    </xf>
    <xf numFmtId="172" fontId="73" fillId="34" borderId="12" xfId="0" applyNumberFormat="1" applyFont="1" applyFill="1" applyBorder="1" applyAlignment="1">
      <alignment vertical="center" wrapText="1"/>
    </xf>
    <xf numFmtId="172" fontId="73" fillId="34" borderId="13" xfId="0" applyNumberFormat="1" applyFont="1" applyFill="1" applyBorder="1" applyAlignment="1">
      <alignment vertical="center" wrapText="1"/>
    </xf>
    <xf numFmtId="172" fontId="73" fillId="34" borderId="12" xfId="0" applyNumberFormat="1" applyFont="1" applyFill="1" applyBorder="1" applyAlignment="1">
      <alignment horizontal="center" wrapText="1"/>
    </xf>
    <xf numFmtId="172" fontId="73" fillId="34" borderId="13" xfId="0" applyNumberFormat="1" applyFont="1" applyFill="1" applyBorder="1" applyAlignment="1">
      <alignment horizontal="center" wrapText="1"/>
    </xf>
    <xf numFmtId="172" fontId="72" fillId="0" borderId="68" xfId="0" applyNumberFormat="1" applyFont="1" applyBorder="1" applyAlignment="1">
      <alignment horizontal="center"/>
    </xf>
    <xf numFmtId="172" fontId="91" fillId="38" borderId="53" xfId="54" applyNumberFormat="1" applyFont="1" applyFill="1" applyBorder="1" applyAlignment="1">
      <alignment horizontal="center" vertical="center" wrapText="1"/>
    </xf>
    <xf numFmtId="172" fontId="91" fillId="38" borderId="55" xfId="54" applyNumberFormat="1" applyFont="1" applyFill="1" applyBorder="1" applyAlignment="1">
      <alignment horizontal="center" vertical="center" wrapText="1"/>
    </xf>
    <xf numFmtId="172" fontId="91" fillId="38" borderId="54" xfId="54" applyNumberFormat="1" applyFont="1" applyFill="1" applyBorder="1" applyAlignment="1">
      <alignment horizontal="center" vertical="center" wrapText="1"/>
    </xf>
    <xf numFmtId="172" fontId="91" fillId="38" borderId="0" xfId="54" applyNumberFormat="1" applyFont="1" applyFill="1" applyBorder="1" applyAlignment="1">
      <alignment horizontal="center" vertical="center" wrapText="1"/>
    </xf>
    <xf numFmtId="172" fontId="91" fillId="38" borderId="49" xfId="54" applyNumberFormat="1" applyFont="1" applyFill="1" applyBorder="1" applyAlignment="1">
      <alignment horizontal="center" vertical="center" wrapText="1"/>
    </xf>
    <xf numFmtId="172" fontId="91" fillId="38" borderId="50" xfId="54" applyNumberFormat="1" applyFont="1" applyFill="1" applyBorder="1" applyAlignment="1">
      <alignment horizontal="center" vertical="center" wrapText="1"/>
    </xf>
    <xf numFmtId="172" fontId="91" fillId="38" borderId="56" xfId="54" applyNumberFormat="1" applyFont="1" applyFill="1" applyBorder="1" applyAlignment="1">
      <alignment horizontal="center" vertical="center" wrapText="1"/>
    </xf>
    <xf numFmtId="172" fontId="91" fillId="38" borderId="57" xfId="54" applyNumberFormat="1" applyFont="1" applyFill="1" applyBorder="1" applyAlignment="1">
      <alignment horizontal="center" vertical="center" wrapText="1"/>
    </xf>
    <xf numFmtId="172" fontId="91" fillId="38" borderId="51" xfId="54" applyNumberFormat="1" applyFont="1" applyFill="1" applyBorder="1" applyAlignment="1">
      <alignment horizontal="center" vertical="center" wrapText="1"/>
    </xf>
    <xf numFmtId="172" fontId="83" fillId="38" borderId="50" xfId="54" applyNumberFormat="1" applyFont="1" applyFill="1" applyBorder="1" applyAlignment="1">
      <alignment horizontal="center" vertical="center" wrapText="1"/>
    </xf>
    <xf numFmtId="172" fontId="83" fillId="38" borderId="49" xfId="54" applyNumberFormat="1" applyFont="1" applyFill="1" applyBorder="1" applyAlignment="1">
      <alignment horizontal="center" vertical="center" wrapText="1"/>
    </xf>
    <xf numFmtId="172" fontId="83" fillId="38" borderId="51" xfId="54" applyNumberFormat="1" applyFont="1" applyFill="1" applyBorder="1" applyAlignment="1">
      <alignment horizontal="center" vertical="center" wrapText="1"/>
    </xf>
    <xf numFmtId="172" fontId="83" fillId="38" borderId="64" xfId="54" applyNumberFormat="1" applyFont="1" applyFill="1" applyBorder="1" applyAlignment="1">
      <alignment horizontal="center" vertical="center" wrapText="1"/>
    </xf>
    <xf numFmtId="172" fontId="83" fillId="38" borderId="65" xfId="54" applyNumberFormat="1" applyFont="1" applyFill="1" applyBorder="1" applyAlignment="1">
      <alignment horizontal="center" vertical="center" wrapText="1"/>
    </xf>
    <xf numFmtId="172" fontId="92" fillId="38" borderId="64" xfId="54" applyNumberFormat="1" applyFont="1" applyFill="1" applyBorder="1" applyAlignment="1">
      <alignment horizontal="center" vertical="center" wrapText="1"/>
    </xf>
    <xf numFmtId="172" fontId="92" fillId="38" borderId="65" xfId="54" applyNumberFormat="1" applyFont="1" applyFill="1" applyBorder="1" applyAlignment="1">
      <alignment horizontal="center" vertical="center" wrapText="1"/>
    </xf>
    <xf numFmtId="172" fontId="92" fillId="38" borderId="66" xfId="54" applyNumberFormat="1" applyFont="1" applyFill="1" applyBorder="1" applyAlignment="1">
      <alignment horizontal="center" vertical="center" wrapText="1"/>
    </xf>
    <xf numFmtId="172" fontId="91" fillId="38" borderId="69" xfId="54" applyNumberFormat="1" applyFont="1" applyFill="1" applyBorder="1" applyAlignment="1">
      <alignment horizontal="center" vertical="center" wrapText="1"/>
    </xf>
    <xf numFmtId="172" fontId="91" fillId="38" borderId="70" xfId="54" applyNumberFormat="1" applyFont="1" applyFill="1" applyBorder="1" applyAlignment="1">
      <alignment horizontal="center" vertical="center" wrapText="1"/>
    </xf>
    <xf numFmtId="172" fontId="91" fillId="38" borderId="58" xfId="54" applyNumberFormat="1" applyFont="1" applyFill="1" applyBorder="1" applyAlignment="1">
      <alignment horizontal="center" vertical="center" wrapText="1"/>
    </xf>
    <xf numFmtId="172" fontId="91" fillId="38" borderId="71" xfId="54" applyNumberFormat="1" applyFont="1" applyFill="1" applyBorder="1" applyAlignment="1">
      <alignment horizontal="center" vertical="center" wrapText="1"/>
    </xf>
    <xf numFmtId="172" fontId="91" fillId="38" borderId="59" xfId="54" applyNumberFormat="1" applyFont="1" applyFill="1" applyBorder="1" applyAlignment="1">
      <alignment horizontal="center" vertical="center" wrapText="1"/>
    </xf>
    <xf numFmtId="172" fontId="91" fillId="38" borderId="72" xfId="54" applyNumberFormat="1" applyFont="1" applyFill="1" applyBorder="1" applyAlignment="1">
      <alignment horizontal="center" vertical="center" wrapText="1"/>
    </xf>
    <xf numFmtId="172" fontId="91" fillId="38" borderId="73" xfId="54" applyNumberFormat="1" applyFont="1" applyFill="1" applyBorder="1" applyAlignment="1">
      <alignment horizontal="center" vertical="center" wrapText="1"/>
    </xf>
    <xf numFmtId="172" fontId="91" fillId="38" borderId="60" xfId="54" applyNumberFormat="1" applyFont="1" applyFill="1" applyBorder="1" applyAlignment="1">
      <alignment horizontal="center" vertical="center" wrapText="1"/>
    </xf>
    <xf numFmtId="172" fontId="83" fillId="38" borderId="0" xfId="54" applyNumberFormat="1" applyFont="1" applyFill="1" applyBorder="1" applyAlignment="1">
      <alignment horizontal="center" vertical="center" wrapText="1"/>
    </xf>
    <xf numFmtId="172" fontId="83" fillId="38" borderId="73" xfId="54" applyNumberFormat="1" applyFont="1" applyFill="1" applyBorder="1" applyAlignment="1">
      <alignment horizontal="center" vertical="center" wrapText="1"/>
    </xf>
    <xf numFmtId="172" fontId="83" fillId="38" borderId="66" xfId="54" applyNumberFormat="1" applyFont="1" applyFill="1" applyBorder="1" applyAlignment="1">
      <alignment horizontal="center" vertical="center" wrapText="1"/>
    </xf>
    <xf numFmtId="172" fontId="83" fillId="38" borderId="47" xfId="54" applyNumberFormat="1" applyFont="1" applyFill="1" applyBorder="1" applyAlignment="1">
      <alignment horizontal="center" vertical="center" wrapText="1"/>
    </xf>
    <xf numFmtId="172" fontId="83" fillId="38" borderId="48" xfId="54" applyNumberFormat="1" applyFont="1" applyFill="1" applyBorder="1" applyAlignment="1">
      <alignment horizontal="center" vertical="center" wrapText="1"/>
    </xf>
    <xf numFmtId="172" fontId="83" fillId="38" borderId="62" xfId="54" applyNumberFormat="1" applyFont="1" applyFill="1" applyBorder="1" applyAlignment="1">
      <alignment horizontal="center" vertical="center" wrapText="1"/>
    </xf>
    <xf numFmtId="172" fontId="83" fillId="38" borderId="63" xfId="54" applyNumberFormat="1" applyFont="1" applyFill="1" applyBorder="1" applyAlignment="1">
      <alignment horizontal="center" vertical="center" wrapText="1"/>
    </xf>
    <xf numFmtId="172" fontId="83" fillId="38" borderId="74" xfId="54" applyNumberFormat="1" applyFont="1" applyFill="1" applyBorder="1" applyAlignment="1">
      <alignment horizontal="center" vertical="center" wrapText="1"/>
    </xf>
    <xf numFmtId="172" fontId="83" fillId="38" borderId="75" xfId="54" applyNumberFormat="1" applyFont="1" applyFill="1" applyBorder="1" applyAlignment="1">
      <alignment horizontal="center" vertical="center" wrapText="1"/>
    </xf>
    <xf numFmtId="172" fontId="83" fillId="38" borderId="76" xfId="54" applyNumberFormat="1" applyFont="1" applyFill="1" applyBorder="1" applyAlignment="1">
      <alignment horizontal="center" vertical="center" wrapText="1"/>
    </xf>
    <xf numFmtId="172" fontId="83" fillId="38" borderId="77" xfId="54" applyNumberFormat="1" applyFont="1" applyFill="1" applyBorder="1" applyAlignment="1">
      <alignment horizontal="center" vertical="center" wrapText="1"/>
    </xf>
    <xf numFmtId="172" fontId="92" fillId="38" borderId="71" xfId="54" applyNumberFormat="1" applyFont="1" applyFill="1" applyBorder="1" applyAlignment="1">
      <alignment horizontal="center" vertical="center" wrapText="1"/>
    </xf>
    <xf numFmtId="172" fontId="92" fillId="38" borderId="0" xfId="54" applyNumberFormat="1" applyFont="1" applyFill="1" applyBorder="1" applyAlignment="1">
      <alignment horizontal="center" vertical="center" wrapText="1"/>
    </xf>
    <xf numFmtId="172" fontId="80" fillId="40" borderId="45" xfId="54" applyNumberFormat="1" applyFont="1" applyFill="1" applyBorder="1" applyAlignment="1">
      <alignment horizontal="center" wrapText="1"/>
    </xf>
    <xf numFmtId="172" fontId="80" fillId="40" borderId="0" xfId="54" applyNumberFormat="1" applyFont="1" applyFill="1" applyBorder="1" applyAlignment="1">
      <alignment horizontal="center" wrapText="1"/>
    </xf>
    <xf numFmtId="172" fontId="80" fillId="40" borderId="12" xfId="54" applyNumberFormat="1" applyFont="1" applyFill="1" applyBorder="1" applyAlignment="1">
      <alignment horizontal="center" wrapText="1"/>
    </xf>
    <xf numFmtId="172" fontId="80" fillId="40" borderId="13" xfId="54" applyNumberFormat="1" applyFont="1" applyFill="1" applyBorder="1" applyAlignment="1">
      <alignment horizontal="center" wrapText="1"/>
    </xf>
    <xf numFmtId="49" fontId="80" fillId="34" borderId="45" xfId="0" applyNumberFormat="1" applyFont="1" applyFill="1" applyBorder="1" applyAlignment="1">
      <alignment horizontal="left" wrapText="1"/>
    </xf>
    <xf numFmtId="49" fontId="80" fillId="34" borderId="0" xfId="0" applyNumberFormat="1" applyFont="1" applyFill="1" applyBorder="1" applyAlignment="1">
      <alignment horizontal="left" wrapText="1"/>
    </xf>
    <xf numFmtId="172" fontId="73" fillId="40" borderId="12" xfId="54" applyNumberFormat="1" applyFont="1" applyFill="1" applyBorder="1" applyAlignment="1">
      <alignment horizontal="center" wrapText="1"/>
    </xf>
    <xf numFmtId="172" fontId="73" fillId="40" borderId="13" xfId="54" applyNumberFormat="1" applyFont="1" applyFill="1" applyBorder="1" applyAlignment="1">
      <alignment horizontal="center" wrapText="1"/>
    </xf>
    <xf numFmtId="172" fontId="73" fillId="40" borderId="45" xfId="54" applyNumberFormat="1" applyFont="1" applyFill="1" applyBorder="1" applyAlignment="1">
      <alignment horizontal="center" wrapText="1"/>
    </xf>
    <xf numFmtId="172" fontId="73" fillId="40" borderId="0" xfId="54" applyNumberFormat="1" applyFont="1" applyFill="1" applyBorder="1" applyAlignment="1">
      <alignment horizontal="center" wrapText="1"/>
    </xf>
    <xf numFmtId="172" fontId="83" fillId="38" borderId="59" xfId="54" applyNumberFormat="1" applyFont="1" applyFill="1" applyBorder="1" applyAlignment="1">
      <alignment horizontal="center" vertical="center" wrapText="1"/>
    </xf>
    <xf numFmtId="172" fontId="78" fillId="0" borderId="68" xfId="0" applyNumberFormat="1" applyFont="1" applyBorder="1" applyAlignment="1">
      <alignment horizontal="center"/>
    </xf>
    <xf numFmtId="0" fontId="93" fillId="37" borderId="15" xfId="0" applyFont="1" applyFill="1" applyBorder="1" applyAlignment="1">
      <alignment horizontal="center" vertical="center" wrapText="1"/>
    </xf>
    <xf numFmtId="0" fontId="93" fillId="37" borderId="16" xfId="0" applyFont="1" applyFill="1" applyBorder="1" applyAlignment="1">
      <alignment horizontal="center" vertical="center" wrapText="1"/>
    </xf>
    <xf numFmtId="0" fontId="93" fillId="37" borderId="20" xfId="0" applyFont="1" applyFill="1" applyBorder="1" applyAlignment="1">
      <alignment horizontal="center" vertical="center" wrapText="1"/>
    </xf>
    <xf numFmtId="0" fontId="93" fillId="37" borderId="15" xfId="0" applyFont="1" applyFill="1" applyBorder="1" applyAlignment="1">
      <alignment horizontal="center" vertical="center" textRotation="90" wrapText="1"/>
    </xf>
    <xf numFmtId="0" fontId="93" fillId="37" borderId="16" xfId="0" applyFont="1" applyFill="1" applyBorder="1" applyAlignment="1">
      <alignment horizontal="center" vertical="center" textRotation="90" wrapText="1"/>
    </xf>
    <xf numFmtId="0" fontId="93" fillId="37" borderId="20" xfId="0" applyFont="1" applyFill="1" applyBorder="1" applyAlignment="1">
      <alignment horizontal="center" vertical="center" textRotation="90" wrapText="1"/>
    </xf>
    <xf numFmtId="0" fontId="4" fillId="36" borderId="0" xfId="0" applyFont="1" applyFill="1" applyBorder="1" applyAlignment="1" applyProtection="1">
      <alignment horizontal="center"/>
      <protection/>
    </xf>
    <xf numFmtId="0" fontId="4" fillId="36" borderId="78" xfId="0" applyFont="1" applyFill="1" applyBorder="1" applyAlignment="1" applyProtection="1">
      <alignment horizontal="center"/>
      <protection/>
    </xf>
    <xf numFmtId="0" fontId="6" fillId="37" borderId="79" xfId="0" applyFont="1" applyFill="1" applyBorder="1" applyAlignment="1" applyProtection="1">
      <alignment horizontal="center" vertical="center"/>
      <protection/>
    </xf>
    <xf numFmtId="0" fontId="6" fillId="37" borderId="0" xfId="0" applyFont="1" applyFill="1" applyBorder="1" applyAlignment="1" applyProtection="1">
      <alignment horizontal="center" vertical="center"/>
      <protection/>
    </xf>
    <xf numFmtId="0" fontId="6" fillId="37" borderId="80" xfId="0" applyFont="1" applyFill="1" applyBorder="1" applyAlignment="1" applyProtection="1">
      <alignment horizontal="center" vertical="center"/>
      <protection/>
    </xf>
    <xf numFmtId="0" fontId="6" fillId="37" borderId="78" xfId="0" applyFont="1" applyFill="1" applyBorder="1" applyAlignment="1" applyProtection="1">
      <alignment horizontal="center" vertical="center"/>
      <protection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A" xfId="37"/>
    <cellStyle name="ENCABEZ1" xfId="38"/>
    <cellStyle name="ENCABEZ2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FIJO" xfId="49"/>
    <cellStyle name="FINANCIERO" xfId="50"/>
    <cellStyle name="Hyperlink" xfId="51"/>
    <cellStyle name="Followed Hyperlink" xfId="52"/>
    <cellStyle name="Incorrecto" xfId="53"/>
    <cellStyle name="Comma" xfId="54"/>
    <cellStyle name="Comma [0]" xfId="55"/>
    <cellStyle name="Millares 3" xfId="56"/>
    <cellStyle name="Millares 6" xfId="57"/>
    <cellStyle name="Currency" xfId="58"/>
    <cellStyle name="Currency [0]" xfId="59"/>
    <cellStyle name="MONETARIO" xfId="60"/>
    <cellStyle name="Neutral" xfId="61"/>
    <cellStyle name="Normal 2" xfId="62"/>
    <cellStyle name="Normal_Actividad general_Actividad general" xfId="63"/>
    <cellStyle name="Normal_Actividad general_PLANILLA PARA EVALUAR IAAPS 2010_catastrofe oficial" xfId="64"/>
    <cellStyle name="Normal_POBL REG 2009" xfId="65"/>
    <cellStyle name="Notas" xfId="66"/>
    <cellStyle name="Percent" xfId="67"/>
    <cellStyle name="Porcentaje 2" xfId="68"/>
    <cellStyle name="Porcentaje 3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  <cellStyle name="Total 2" xfId="77"/>
  </cellStyles>
  <dxfs count="66"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b val="0"/>
        <i val="0"/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b val="0"/>
        <i val="0"/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b val="0"/>
        <i val="0"/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b val="0"/>
        <i val="0"/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b val="0"/>
        <i val="0"/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b val="0"/>
        <i val="0"/>
        <color indexed="18"/>
      </font>
    </dxf>
    <dxf>
      <font>
        <color indexed="18"/>
      </font>
    </dxf>
    <dxf>
      <font>
        <color rgb="FF9C0006"/>
      </font>
      <fill>
        <patternFill>
          <bgColor rgb="FFFFC7CE"/>
        </patternFill>
      </fill>
    </dxf>
    <dxf>
      <font>
        <color indexed="18"/>
      </font>
    </dxf>
    <dxf>
      <font>
        <color indexed="18"/>
      </font>
    </dxf>
    <dxf>
      <font>
        <color rgb="FF00008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1:N23"/>
  <sheetViews>
    <sheetView showGridLines="0" tabSelected="1" zoomScale="90" zoomScaleNormal="9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11.421875" defaultRowHeight="15"/>
  <cols>
    <col min="1" max="1" width="18.00390625" style="163" customWidth="1"/>
    <col min="2" max="4" width="11.8515625" style="163" bestFit="1" customWidth="1"/>
    <col min="5" max="5" width="12.421875" style="163" bestFit="1" customWidth="1"/>
    <col min="6" max="6" width="12.57421875" style="163" bestFit="1" customWidth="1"/>
    <col min="7" max="7" width="11.8515625" style="163" bestFit="1" customWidth="1"/>
    <col min="8" max="9" width="12.140625" style="163" bestFit="1" customWidth="1"/>
    <col min="10" max="10" width="13.140625" style="163" customWidth="1"/>
    <col min="11" max="11" width="13.28125" style="163" bestFit="1" customWidth="1"/>
    <col min="12" max="12" width="15.8515625" style="163" customWidth="1"/>
    <col min="13" max="13" width="15.00390625" style="163" customWidth="1"/>
    <col min="14" max="14" width="15.7109375" style="163" bestFit="1" customWidth="1"/>
    <col min="15" max="16384" width="11.421875" style="163" customWidth="1"/>
  </cols>
  <sheetData>
    <row r="1" spans="1:14" ht="15">
      <c r="A1" s="160" t="s">
        <v>315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5"/>
    </row>
    <row r="2" spans="1:14" ht="15">
      <c r="A2" s="160" t="s">
        <v>316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5"/>
    </row>
    <row r="3" spans="1:14" ht="15">
      <c r="A3" s="160" t="s">
        <v>317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5"/>
    </row>
    <row r="4" spans="1:14" ht="15">
      <c r="A4" s="160" t="s">
        <v>318</v>
      </c>
      <c r="B4" s="166"/>
      <c r="C4" s="158"/>
      <c r="D4" s="158"/>
      <c r="E4" s="166"/>
      <c r="F4" s="166"/>
      <c r="G4" s="158"/>
      <c r="H4" s="158"/>
      <c r="I4" s="158"/>
      <c r="J4" s="158"/>
      <c r="K4" s="158"/>
      <c r="L4" s="158"/>
      <c r="M4" s="158"/>
      <c r="N4" s="159"/>
    </row>
    <row r="5" spans="1:14" ht="21" customHeight="1">
      <c r="A5" s="186" t="s">
        <v>0</v>
      </c>
      <c r="B5" s="183" t="s">
        <v>313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5"/>
    </row>
    <row r="6" spans="1:14" ht="10.5" customHeight="1">
      <c r="A6" s="187"/>
      <c r="B6" s="169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1"/>
    </row>
    <row r="7" spans="1:14" ht="15">
      <c r="A7" s="187"/>
      <c r="B7" s="180" t="s">
        <v>314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2"/>
    </row>
    <row r="8" spans="1:14" ht="23.25" customHeight="1">
      <c r="A8" s="187"/>
      <c r="B8" s="193" t="s">
        <v>232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5"/>
    </row>
    <row r="9" spans="1:14" ht="25.5" customHeight="1">
      <c r="A9" s="187"/>
      <c r="B9" s="172" t="s">
        <v>276</v>
      </c>
      <c r="C9" s="172" t="s">
        <v>277</v>
      </c>
      <c r="D9" s="172" t="s">
        <v>278</v>
      </c>
      <c r="E9" s="172" t="s">
        <v>279</v>
      </c>
      <c r="F9" s="172" t="s">
        <v>280</v>
      </c>
      <c r="G9" s="172" t="s">
        <v>281</v>
      </c>
      <c r="H9" s="172" t="s">
        <v>282</v>
      </c>
      <c r="I9" s="172" t="s">
        <v>283</v>
      </c>
      <c r="J9" s="172" t="s">
        <v>284</v>
      </c>
      <c r="K9" s="172" t="s">
        <v>285</v>
      </c>
      <c r="L9" s="172" t="s">
        <v>263</v>
      </c>
      <c r="M9" s="172" t="s">
        <v>264</v>
      </c>
      <c r="N9" s="172" t="s">
        <v>296</v>
      </c>
    </row>
    <row r="10" spans="1:14" ht="66" customHeight="1">
      <c r="A10" s="187"/>
      <c r="B10" s="189" t="s">
        <v>297</v>
      </c>
      <c r="C10" s="189" t="s">
        <v>298</v>
      </c>
      <c r="D10" s="189" t="s">
        <v>299</v>
      </c>
      <c r="E10" s="189" t="s">
        <v>300</v>
      </c>
      <c r="F10" s="189" t="s">
        <v>301</v>
      </c>
      <c r="G10" s="189" t="s">
        <v>302</v>
      </c>
      <c r="H10" s="189" t="s">
        <v>303</v>
      </c>
      <c r="I10" s="189" t="s">
        <v>304</v>
      </c>
      <c r="J10" s="189" t="s">
        <v>305</v>
      </c>
      <c r="K10" s="189" t="s">
        <v>306</v>
      </c>
      <c r="L10" s="189" t="s">
        <v>307</v>
      </c>
      <c r="M10" s="189" t="s">
        <v>308</v>
      </c>
      <c r="N10" s="191" t="s">
        <v>309</v>
      </c>
    </row>
    <row r="11" spans="1:14" ht="60.75" customHeight="1">
      <c r="A11" s="188"/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2"/>
    </row>
    <row r="12" spans="1:14" ht="15">
      <c r="A12" s="161" t="s">
        <v>244</v>
      </c>
      <c r="B12" s="173">
        <f>+'META 1'!$C$25</f>
        <v>0.4062620911336646</v>
      </c>
      <c r="C12" s="174">
        <f>+'META 2'!$C$25</f>
        <v>0.8207995526977914</v>
      </c>
      <c r="D12" s="174">
        <f>+'META 3'!$C$25</f>
        <v>0.9876081365443068</v>
      </c>
      <c r="E12" s="174">
        <f>+'META 4'!$C$25</f>
        <v>1.0164778813501378</v>
      </c>
      <c r="F12" s="174">
        <f>+'META 5'!$C$25</f>
        <v>0.6753636622269947</v>
      </c>
      <c r="G12" s="174">
        <f>+'META 6'!$C$25</f>
        <v>1.0204081632653061</v>
      </c>
      <c r="H12" s="174">
        <f>+'META 7'!$C$25</f>
        <v>0.8784182362111826</v>
      </c>
      <c r="I12" s="174">
        <f>+'META 8'!$C$25</f>
        <v>0.8202151843655646</v>
      </c>
      <c r="J12" s="174">
        <f>+'META 9'!$C$25</f>
        <v>1.7911147579416247</v>
      </c>
      <c r="K12" s="174">
        <f>+'META 10'!$C$25</f>
        <v>1.6345642226242418</v>
      </c>
      <c r="L12" s="174">
        <f>+'META 11'!$C$25</f>
        <v>0.5561539566278902</v>
      </c>
      <c r="M12" s="174">
        <f>+'META 12'!$C$25</f>
        <v>0.8364851132571873</v>
      </c>
      <c r="N12" s="175">
        <f>+'META 13'!$C$25</f>
        <v>0.03459549220736538</v>
      </c>
    </row>
    <row r="13" spans="1:14" ht="15">
      <c r="A13" s="162" t="s">
        <v>238</v>
      </c>
      <c r="B13" s="174">
        <f>+'META 1'!$C$36</f>
        <v>1.261995433130896</v>
      </c>
      <c r="C13" s="174">
        <f>+'META 2'!$C$36</f>
        <v>1.5374528024599243</v>
      </c>
      <c r="D13" s="174">
        <f>+'META 3'!$C$36</f>
        <v>1.41476713270347</v>
      </c>
      <c r="E13" s="174">
        <f>+'META 4'!$C$36</f>
        <v>0.9255765990090294</v>
      </c>
      <c r="F13" s="174">
        <f>+'META 5'!$C$36</f>
        <v>1.2236799627329935</v>
      </c>
      <c r="G13" s="174">
        <f>+'META 6'!$C$36</f>
        <v>1.0204081632653061</v>
      </c>
      <c r="H13" s="174">
        <f>+'META 7'!$C$36</f>
        <v>0.9777583315102457</v>
      </c>
      <c r="I13" s="174">
        <f>+'META 8'!$C$36</f>
        <v>0.9364351674026332</v>
      </c>
      <c r="J13" s="174">
        <f>+'META 9'!$C$36</f>
        <v>1.584077466498039</v>
      </c>
      <c r="K13" s="174">
        <f>+'META 10'!$C$36</f>
        <v>1.8975098095091956</v>
      </c>
      <c r="L13" s="174">
        <f>+'META 11'!$C$36</f>
        <v>0.6141502085099594</v>
      </c>
      <c r="M13" s="174">
        <f>+'META 12'!$C$36</f>
        <v>0.8617072209820891</v>
      </c>
      <c r="N13" s="176">
        <f>+'META 13'!$C$36</f>
        <v>0.1643655489809336</v>
      </c>
    </row>
    <row r="14" spans="1:14" ht="15">
      <c r="A14" s="162" t="s">
        <v>251</v>
      </c>
      <c r="B14" s="173">
        <f>+'META 1'!$C$47</f>
        <v>0.4043575472146901</v>
      </c>
      <c r="C14" s="174">
        <f>+'META 2'!$C$47</f>
        <v>1.0675108591621878</v>
      </c>
      <c r="D14" s="174">
        <f>+'META 3'!$C$47</f>
        <v>1.198650064005586</v>
      </c>
      <c r="E14" s="174">
        <f>+'META 4'!$C$47</f>
        <v>0.9304871373836892</v>
      </c>
      <c r="F14" s="174">
        <f>+'META 5'!$C$47</f>
        <v>0.9718172983479104</v>
      </c>
      <c r="G14" s="173" t="s">
        <v>312</v>
      </c>
      <c r="H14" s="174">
        <f>+'META 7'!$C$47</f>
        <v>1.0031912282137303</v>
      </c>
      <c r="I14" s="174">
        <f>+'META 8'!$C$47</f>
        <v>0.9746058879949623</v>
      </c>
      <c r="J14" s="174">
        <f>+'META 9'!$C$47</f>
        <v>1.2572290671360322</v>
      </c>
      <c r="K14" s="174">
        <f>+'META 10'!$C$47</f>
        <v>1.8441149013666345</v>
      </c>
      <c r="L14" s="174">
        <f>+'META 11'!$C$47</f>
        <v>0.5652347386620561</v>
      </c>
      <c r="M14" s="174">
        <f>+'META 12'!$C$47</f>
        <v>1.0359779281399994</v>
      </c>
      <c r="N14" s="175">
        <f>+'META 13'!$C$47</f>
        <v>0</v>
      </c>
    </row>
    <row r="15" spans="1:14" ht="15">
      <c r="A15" s="162" t="s">
        <v>243</v>
      </c>
      <c r="B15" s="174">
        <f>+'META 1'!$C$61</f>
        <v>1.438988818667963</v>
      </c>
      <c r="C15" s="174">
        <f>+'META 2'!$C$61</f>
        <v>1.5314804310833807</v>
      </c>
      <c r="D15" s="174">
        <f>+'META 3'!$C$61</f>
        <v>0.9618595952174201</v>
      </c>
      <c r="E15" s="174">
        <f>+'META 4'!$C$61</f>
        <v>1.1111111111111112</v>
      </c>
      <c r="F15" s="174">
        <f>+'META 5'!$C$61</f>
        <v>1.6708437761069341</v>
      </c>
      <c r="G15" s="174">
        <f>+'META 6'!$C$61</f>
        <v>1.0204081632653061</v>
      </c>
      <c r="H15" s="174">
        <f>+'META 7'!$C$61</f>
        <v>0.9571499590281216</v>
      </c>
      <c r="I15" s="174">
        <f>+'META 8'!$C$61</f>
        <v>0.9778367395735706</v>
      </c>
      <c r="J15" s="174">
        <f>+'META 9'!$C$61</f>
        <v>1.9552079630287946</v>
      </c>
      <c r="K15" s="174">
        <f>+'META 10'!$C$61</f>
        <v>0.5820949822293118</v>
      </c>
      <c r="L15" s="174">
        <f>+'META 11'!$C$61</f>
        <v>0.5285218190497065</v>
      </c>
      <c r="M15" s="174">
        <f>+'META 12'!$C$61</f>
        <v>0.9286539467565682</v>
      </c>
      <c r="N15" s="175">
        <f>+'META 13'!$C$61</f>
        <v>0</v>
      </c>
    </row>
    <row r="16" spans="1:14" ht="15">
      <c r="A16" s="162" t="s">
        <v>239</v>
      </c>
      <c r="B16" s="174">
        <f>+'META 1'!$C$72</f>
        <v>2.5315644427353714</v>
      </c>
      <c r="C16" s="174">
        <f>+'META 2'!$C$72</f>
        <v>2.5976202446790677</v>
      </c>
      <c r="D16" s="174">
        <f>+'META 3'!$C$72</f>
        <v>0.5001364008365918</v>
      </c>
      <c r="E16" s="174">
        <f>+'META 4'!$C$72</f>
        <v>0.9325681492109039</v>
      </c>
      <c r="F16" s="174">
        <f>+'META 5'!$C$72</f>
        <v>0.9476149914821123</v>
      </c>
      <c r="G16" s="174">
        <f>+'META 6'!$C$72</f>
        <v>1.0204081632653061</v>
      </c>
      <c r="H16" s="174">
        <f>+'META 7'!$C$72</f>
        <v>0.9959385484725412</v>
      </c>
      <c r="I16" s="174">
        <f>+'META 8'!$C$72</f>
        <v>1.0022795731240823</v>
      </c>
      <c r="J16" s="174">
        <f>+'META 9'!$C$72</f>
        <v>2.149151085321298</v>
      </c>
      <c r="K16" s="174">
        <f>+'META 10'!$C$72</f>
        <v>1.1883289124668437</v>
      </c>
      <c r="L16" s="174">
        <f>+'META 11'!$C$72</f>
        <v>0.7348555849024452</v>
      </c>
      <c r="M16" s="174">
        <f>+'META 12'!$C$72</f>
        <v>0.7147577241035186</v>
      </c>
      <c r="N16" s="175">
        <f>+'META 13'!$C$72</f>
        <v>0</v>
      </c>
    </row>
    <row r="17" spans="1:14" ht="15">
      <c r="A17" s="162" t="s">
        <v>245</v>
      </c>
      <c r="B17" s="173">
        <f>+'META 1'!$C$78</f>
        <v>0.49603174603174605</v>
      </c>
      <c r="C17" s="173">
        <f>+'META 2'!$C$78</f>
        <v>0.08153946510110892</v>
      </c>
      <c r="D17" s="174">
        <f>+'META 3'!$C$78</f>
        <v>1.9941348973607038</v>
      </c>
      <c r="E17" s="174">
        <f>+'META 4'!$C$78</f>
        <v>1.0670731707317074</v>
      </c>
      <c r="F17" s="174">
        <f>+'META 5'!$C$78</f>
        <v>0.9369144284821985</v>
      </c>
      <c r="G17" s="173" t="s">
        <v>312</v>
      </c>
      <c r="H17" s="174">
        <f>+'META 7'!$C$78</f>
        <v>0.9980869999168259</v>
      </c>
      <c r="I17" s="174">
        <f>+'META 8'!$C$78</f>
        <v>1.0140800671263055</v>
      </c>
      <c r="J17" s="174">
        <f>+'META 9'!$C$78</f>
        <v>1.5997156061144686</v>
      </c>
      <c r="K17" s="174">
        <f>+'META 10'!$C$78</f>
        <v>1.4624817189785129</v>
      </c>
      <c r="L17" s="174">
        <f>+'META 11'!$C$78</f>
        <v>0.5622438348242357</v>
      </c>
      <c r="M17" s="174">
        <f>+'META 12'!$C$78</f>
        <v>1.0658119788773899</v>
      </c>
      <c r="N17" s="175">
        <f>+'META 13'!$C$78</f>
        <v>0</v>
      </c>
    </row>
    <row r="18" spans="1:14" ht="15">
      <c r="A18" s="162" t="s">
        <v>250</v>
      </c>
      <c r="B18" s="174">
        <f>+'META 1'!$C$89</f>
        <v>1.4121589277166104</v>
      </c>
      <c r="C18" s="174">
        <f>+'META 2'!$C$89</f>
        <v>1.2490573152337858</v>
      </c>
      <c r="D18" s="174">
        <f>+'META 3'!$C$89</f>
        <v>1.2366921174319818</v>
      </c>
      <c r="E18" s="174">
        <f>+'META 4'!$C$89</f>
        <v>0.9679370840895342</v>
      </c>
      <c r="F18" s="173">
        <f>+'META 5'!$C$89</f>
        <v>4.273066360618109</v>
      </c>
      <c r="G18" s="174">
        <f>+'META 6'!$C$89</f>
        <v>1.0204081632653061</v>
      </c>
      <c r="H18" s="174">
        <f>+'META 7'!$C$89</f>
        <v>0.9714587582498581</v>
      </c>
      <c r="I18" s="174">
        <f>+'META 8'!$C$89</f>
        <v>1.002308363360937</v>
      </c>
      <c r="J18" s="174">
        <f>+'META 9'!$C$89</f>
        <v>2.004581901489118</v>
      </c>
      <c r="K18" s="174">
        <f>+'META 10'!$C$89</f>
        <v>1.7334515842941225</v>
      </c>
      <c r="L18" s="174">
        <f>+'META 11'!$C$89</f>
        <v>0.553767573976833</v>
      </c>
      <c r="M18" s="174">
        <f>+'META 12'!$C$89</f>
        <v>1.1496863697517166</v>
      </c>
      <c r="N18" s="175">
        <f>+'META 13'!$C$89</f>
        <v>0</v>
      </c>
    </row>
    <row r="19" spans="1:14" ht="15">
      <c r="A19" s="162" t="s">
        <v>247</v>
      </c>
      <c r="B19" s="174">
        <f>+'META 1'!$C$106</f>
        <v>1.2901023890784982</v>
      </c>
      <c r="C19" s="174">
        <f>+'META 2'!$C$106</f>
        <v>1.5322833592998801</v>
      </c>
      <c r="D19" s="174">
        <f>+'META 3'!$C$106</f>
        <v>1.2017479970866713</v>
      </c>
      <c r="E19" s="174">
        <f>+'META 4'!$C$106</f>
        <v>0.967338113121657</v>
      </c>
      <c r="F19" s="174">
        <f>+'META 5'!$C$106</f>
        <v>1.1653834624552561</v>
      </c>
      <c r="G19" s="174">
        <f>+'META 6'!$C$106</f>
        <v>1.0204081632653061</v>
      </c>
      <c r="H19" s="174">
        <f>+'META 7'!$C$106</f>
        <v>0.9844232329738908</v>
      </c>
      <c r="I19" s="174">
        <f>+'META 8'!$C$106</f>
        <v>0.9822033737971624</v>
      </c>
      <c r="J19" s="174">
        <f>+'META 9'!$C$106</f>
        <v>1.3427095423408661</v>
      </c>
      <c r="K19" s="174">
        <f>+'META 10'!$C$106</f>
        <v>1.1657398091742306</v>
      </c>
      <c r="L19" s="174">
        <f>+'META 11'!$C$106</f>
        <v>0.7151546728424454</v>
      </c>
      <c r="M19" s="174">
        <f>+'META 12'!$C$106</f>
        <v>1.086352400102888</v>
      </c>
      <c r="N19" s="175">
        <f>+'META 13'!$C$106</f>
        <v>0</v>
      </c>
    </row>
    <row r="20" spans="1:14" ht="15">
      <c r="A20" s="162" t="s">
        <v>311</v>
      </c>
      <c r="B20" s="173">
        <f>+'META 1'!$C$119</f>
        <v>0.04230118443316412</v>
      </c>
      <c r="C20" s="173">
        <f>+'META 2'!$C$119</f>
        <v>0.3469124789374566</v>
      </c>
      <c r="D20" s="174">
        <f>+'META 3'!$C$119</f>
        <v>1.322101764061497</v>
      </c>
      <c r="E20" s="174">
        <f>+'META 4'!$C$119</f>
        <v>0.9146341463414634</v>
      </c>
      <c r="F20" s="174">
        <f>+'META 5'!$C$119</f>
        <v>0.7166746297181079</v>
      </c>
      <c r="G20" s="174">
        <f>+'META 6'!$C$119</f>
        <v>1.0204081632653061</v>
      </c>
      <c r="H20" s="174">
        <f>+'META 7'!$C$119</f>
        <v>1.0094093669331636</v>
      </c>
      <c r="I20" s="174">
        <f>+'META 8'!$C$119</f>
        <v>0.9930259539878419</v>
      </c>
      <c r="J20" s="174">
        <f>+'META 9'!$C$119</f>
        <v>1.145475372279496</v>
      </c>
      <c r="K20" s="174">
        <f>+'META 10'!$C$119</f>
        <v>0.898197033759064</v>
      </c>
      <c r="L20" s="174">
        <f>+'META 11'!$C$119</f>
        <v>0.6135418583984974</v>
      </c>
      <c r="M20" s="174">
        <f>+'META 12'!$C$119</f>
        <v>0.9291023441966838</v>
      </c>
      <c r="N20" s="175">
        <f>+'META 13'!$C$119</f>
        <v>0</v>
      </c>
    </row>
    <row r="21" spans="1:14" ht="15">
      <c r="A21" s="162" t="s">
        <v>246</v>
      </c>
      <c r="B21" s="174">
        <f>+'META 1'!$C$133</f>
        <v>0.5013300593411091</v>
      </c>
      <c r="C21" s="174">
        <f>+'META 2'!$C$133</f>
        <v>0.6009615384615384</v>
      </c>
      <c r="D21" s="174">
        <f>+'META 3'!$C$133</f>
        <v>1.4702161261332005</v>
      </c>
      <c r="E21" s="174">
        <f>+'META 4'!$C$133</f>
        <v>0.9881024400080661</v>
      </c>
      <c r="F21" s="174">
        <f>+'META 5'!$C$133</f>
        <v>1.6433281945871874</v>
      </c>
      <c r="G21" s="174">
        <f>+'META 6'!$C$133</f>
        <v>1.0204081632653061</v>
      </c>
      <c r="H21" s="174">
        <f>+'META 7'!$C$133</f>
        <v>1.100727252561065</v>
      </c>
      <c r="I21" s="174">
        <f>+'META 8'!$C$133</f>
        <v>0.9741924045398571</v>
      </c>
      <c r="J21" s="174">
        <f>+'META 9'!$C$133</f>
        <v>1.9552602808847026</v>
      </c>
      <c r="K21" s="174">
        <f>+'META 10'!$C$133</f>
        <v>1.3555987019802396</v>
      </c>
      <c r="L21" s="174">
        <f>+'META 11'!$C$133</f>
        <v>0.6725278063045835</v>
      </c>
      <c r="M21" s="174">
        <f>+'META 12'!$C$133</f>
        <v>0.8509348316877494</v>
      </c>
      <c r="N21" s="175">
        <f>+'META 13'!$C$133</f>
        <v>0</v>
      </c>
    </row>
    <row r="22" spans="1:14" ht="15">
      <c r="A22" s="162" t="s">
        <v>248</v>
      </c>
      <c r="B22" s="173">
        <f>+'META 1'!$C$138</f>
        <v>0</v>
      </c>
      <c r="C22" s="173">
        <f>+'META 2'!$C$138</f>
        <v>0</v>
      </c>
      <c r="D22" s="174">
        <f>+'META 3'!$C$138</f>
        <v>0.6873297886136688</v>
      </c>
      <c r="E22" s="174">
        <f>+'META 4'!$C$138</f>
        <v>0.9523809523809523</v>
      </c>
      <c r="F22" s="174">
        <f>+'META 5'!$C$138</f>
        <v>1.5735538909696214</v>
      </c>
      <c r="G22" s="174">
        <f>+'META 6'!$C$138</f>
        <v>1.0204081632653061</v>
      </c>
      <c r="H22" s="174">
        <f>+'META 7'!$C$138</f>
        <v>1.024643780142167</v>
      </c>
      <c r="I22" s="174">
        <f>+'META 8'!$C$138</f>
        <v>1.0035796020176488</v>
      </c>
      <c r="J22" s="174">
        <f>+'META 9'!$C$138</f>
        <v>1.810774105930285</v>
      </c>
      <c r="K22" s="174">
        <f>+'META 10'!$C$138</f>
        <v>1.7397825271841019</v>
      </c>
      <c r="L22" s="174">
        <f>+'META 11'!$C$138</f>
        <v>0.6952632011876271</v>
      </c>
      <c r="M22" s="174">
        <f>+'META 12'!$C$138</f>
        <v>0.8519188738220018</v>
      </c>
      <c r="N22" s="175">
        <f>+'META 13'!$C$138</f>
        <v>0</v>
      </c>
    </row>
    <row r="23" spans="1:14" ht="15">
      <c r="A23" s="167" t="s">
        <v>249</v>
      </c>
      <c r="B23" s="177">
        <f>+'META 1'!$C$146</f>
        <v>0.6220839813374804</v>
      </c>
      <c r="C23" s="177">
        <f>+'META 2'!$C$146</f>
        <v>1.4194867136043605</v>
      </c>
      <c r="D23" s="177">
        <f>+'META 3'!$C$146</f>
        <v>0.8433948863636364</v>
      </c>
      <c r="E23" s="177">
        <f>+'META 4'!$C$146</f>
        <v>1.1494252873563218</v>
      </c>
      <c r="F23" s="178">
        <f>+'META 5'!$C$146</f>
        <v>0.4100377234705592</v>
      </c>
      <c r="G23" s="177">
        <f>+'META 6'!$C$146</f>
        <v>1.0204081632653061</v>
      </c>
      <c r="H23" s="177">
        <f>+'META 7'!$C$146</f>
        <v>0.9349908501868163</v>
      </c>
      <c r="I23" s="177">
        <f>+'META 8'!$C$146</f>
        <v>0.9395541038999143</v>
      </c>
      <c r="J23" s="177">
        <f>+'META 9'!$C$146</f>
        <v>1.9180052745145049</v>
      </c>
      <c r="K23" s="177">
        <f>+'META 10'!$C$146</f>
        <v>1.2888185514058546</v>
      </c>
      <c r="L23" s="177">
        <f>+'META 11'!$C$146</f>
        <v>0.8661170823332985</v>
      </c>
      <c r="M23" s="177">
        <f>+'META 12'!$C$146</f>
        <v>0.9707064044135285</v>
      </c>
      <c r="N23" s="179">
        <f>+'META 13'!$C$146</f>
        <v>0</v>
      </c>
    </row>
  </sheetData>
  <sheetProtection/>
  <mergeCells count="17">
    <mergeCell ref="H10:H11"/>
    <mergeCell ref="B10:B11"/>
    <mergeCell ref="C10:C11"/>
    <mergeCell ref="D10:D11"/>
    <mergeCell ref="E10:E11"/>
    <mergeCell ref="F10:F11"/>
    <mergeCell ref="G10:G11"/>
    <mergeCell ref="B7:N7"/>
    <mergeCell ref="B5:N5"/>
    <mergeCell ref="A5:A11"/>
    <mergeCell ref="I10:I11"/>
    <mergeCell ref="J10:J11"/>
    <mergeCell ref="K10:K11"/>
    <mergeCell ref="L10:L11"/>
    <mergeCell ref="M10:M11"/>
    <mergeCell ref="N10:N11"/>
    <mergeCell ref="B8:N8"/>
  </mergeCells>
  <conditionalFormatting sqref="B10">
    <cfRule type="cellIs" priority="4" dxfId="64" operator="lessThan" stopIfTrue="1">
      <formula>0.25</formula>
    </cfRule>
  </conditionalFormatting>
  <conditionalFormatting sqref="C10:N10">
    <cfRule type="cellIs" priority="2" dxfId="64" operator="lessThan" stopIfTrue="1">
      <formula>0.25</formula>
    </cfRule>
  </conditionalFormatting>
  <conditionalFormatting sqref="B12:N23">
    <cfRule type="cellIs" priority="1" dxfId="65" operator="lessThan" stopIfTrue="1">
      <formula>0.5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48"/>
  <sheetViews>
    <sheetView zoomScale="80" zoomScaleNormal="8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11.421875" defaultRowHeight="15"/>
  <cols>
    <col min="1" max="1" width="20.28125" style="110" bestFit="1" customWidth="1"/>
    <col min="2" max="2" width="36.7109375" style="110" bestFit="1" customWidth="1"/>
    <col min="3" max="3" width="14.421875" style="62" customWidth="1"/>
    <col min="4" max="4" width="15.00390625" style="62" customWidth="1"/>
    <col min="5" max="6" width="9.7109375" style="76" bestFit="1" customWidth="1"/>
    <col min="7" max="10" width="6.7109375" style="76" bestFit="1" customWidth="1"/>
    <col min="11" max="11" width="6.7109375" style="76" customWidth="1"/>
    <col min="12" max="12" width="8.421875" style="76" customWidth="1"/>
    <col min="13" max="13" width="8.57421875" style="76" customWidth="1"/>
    <col min="14" max="14" width="7.57421875" style="76" customWidth="1"/>
    <col min="15" max="15" width="7.8515625" style="76" customWidth="1"/>
    <col min="16" max="16" width="7.7109375" style="76" customWidth="1"/>
    <col min="17" max="17" width="9.00390625" style="76" bestFit="1" customWidth="1"/>
    <col min="18" max="23" width="9.57421875" style="76" customWidth="1"/>
    <col min="24" max="16384" width="11.421875" style="62" customWidth="1"/>
  </cols>
  <sheetData>
    <row r="1" spans="1:23" ht="81.75" customHeight="1" thickBot="1" thickTop="1">
      <c r="A1" s="204" t="s">
        <v>0</v>
      </c>
      <c r="B1" s="198" t="s">
        <v>1</v>
      </c>
      <c r="C1" s="198" t="s">
        <v>217</v>
      </c>
      <c r="D1" s="222" t="s">
        <v>213</v>
      </c>
      <c r="E1" s="278" t="s">
        <v>62</v>
      </c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</row>
    <row r="2" spans="1:23" ht="15" customHeight="1" thickTop="1">
      <c r="A2" s="205"/>
      <c r="B2" s="208"/>
      <c r="C2" s="199"/>
      <c r="D2" s="223"/>
      <c r="E2" s="242" t="s">
        <v>3</v>
      </c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59" t="s">
        <v>4</v>
      </c>
      <c r="S2" s="260"/>
      <c r="T2" s="260"/>
      <c r="U2" s="260"/>
      <c r="V2" s="260"/>
      <c r="W2" s="261"/>
    </row>
    <row r="3" spans="1:23" ht="15" customHeight="1">
      <c r="A3" s="205"/>
      <c r="B3" s="208"/>
      <c r="C3" s="199"/>
      <c r="D3" s="223"/>
      <c r="E3" s="244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62"/>
      <c r="S3" s="245"/>
      <c r="T3" s="245"/>
      <c r="U3" s="245"/>
      <c r="V3" s="245"/>
      <c r="W3" s="263"/>
    </row>
    <row r="4" spans="1:23" ht="15" customHeight="1">
      <c r="A4" s="205"/>
      <c r="B4" s="208"/>
      <c r="C4" s="199"/>
      <c r="D4" s="223"/>
      <c r="E4" s="244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62"/>
      <c r="S4" s="245"/>
      <c r="T4" s="245"/>
      <c r="U4" s="245"/>
      <c r="V4" s="245"/>
      <c r="W4" s="263"/>
    </row>
    <row r="5" spans="1:23" ht="15" customHeight="1">
      <c r="A5" s="205"/>
      <c r="B5" s="208"/>
      <c r="C5" s="199"/>
      <c r="D5" s="223"/>
      <c r="E5" s="244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62"/>
      <c r="S5" s="245"/>
      <c r="T5" s="245"/>
      <c r="U5" s="245"/>
      <c r="V5" s="245"/>
      <c r="W5" s="263"/>
    </row>
    <row r="6" spans="1:23" ht="15" customHeight="1">
      <c r="A6" s="205"/>
      <c r="B6" s="208"/>
      <c r="C6" s="199"/>
      <c r="D6" s="223"/>
      <c r="E6" s="244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62"/>
      <c r="S6" s="245"/>
      <c r="T6" s="245"/>
      <c r="U6" s="245"/>
      <c r="V6" s="245"/>
      <c r="W6" s="263"/>
    </row>
    <row r="7" spans="1:23" ht="15" customHeight="1">
      <c r="A7" s="205"/>
      <c r="B7" s="208"/>
      <c r="C7" s="199"/>
      <c r="D7" s="223"/>
      <c r="E7" s="244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62"/>
      <c r="S7" s="245"/>
      <c r="T7" s="245"/>
      <c r="U7" s="245"/>
      <c r="V7" s="245"/>
      <c r="W7" s="263"/>
    </row>
    <row r="8" spans="1:23" ht="15" customHeight="1">
      <c r="A8" s="205"/>
      <c r="B8" s="208"/>
      <c r="C8" s="199"/>
      <c r="D8" s="223"/>
      <c r="E8" s="244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62"/>
      <c r="S8" s="245"/>
      <c r="T8" s="245"/>
      <c r="U8" s="245"/>
      <c r="V8" s="245"/>
      <c r="W8" s="263"/>
    </row>
    <row r="9" spans="1:23" ht="15.75" customHeight="1" thickBot="1">
      <c r="A9" s="205"/>
      <c r="B9" s="208"/>
      <c r="C9" s="199"/>
      <c r="D9" s="223"/>
      <c r="E9" s="246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64"/>
      <c r="S9" s="265"/>
      <c r="T9" s="265"/>
      <c r="U9" s="265"/>
      <c r="V9" s="265"/>
      <c r="W9" s="266"/>
    </row>
    <row r="10" spans="1:23" ht="57.75" customHeight="1" thickBot="1" thickTop="1">
      <c r="A10" s="206"/>
      <c r="B10" s="200"/>
      <c r="C10" s="199"/>
      <c r="D10" s="224"/>
      <c r="E10" s="251" t="s">
        <v>63</v>
      </c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4" t="s">
        <v>64</v>
      </c>
      <c r="S10" s="255"/>
      <c r="T10" s="255"/>
      <c r="U10" s="255"/>
      <c r="V10" s="255"/>
      <c r="W10" s="269"/>
    </row>
    <row r="11" spans="1:23" ht="33" thickBot="1">
      <c r="A11" s="149"/>
      <c r="B11" s="149"/>
      <c r="C11" s="200"/>
      <c r="D11" s="140" t="s">
        <v>214</v>
      </c>
      <c r="E11" s="144" t="s">
        <v>9</v>
      </c>
      <c r="F11" s="144" t="s">
        <v>10</v>
      </c>
      <c r="G11" s="144" t="s">
        <v>11</v>
      </c>
      <c r="H11" s="144" t="s">
        <v>12</v>
      </c>
      <c r="I11" s="144" t="s">
        <v>13</v>
      </c>
      <c r="J11" s="144" t="s">
        <v>14</v>
      </c>
      <c r="K11" s="144" t="s">
        <v>15</v>
      </c>
      <c r="L11" s="144" t="s">
        <v>16</v>
      </c>
      <c r="M11" s="144" t="s">
        <v>17</v>
      </c>
      <c r="N11" s="144" t="s">
        <v>18</v>
      </c>
      <c r="O11" s="144" t="s">
        <v>19</v>
      </c>
      <c r="P11" s="144" t="s">
        <v>20</v>
      </c>
      <c r="Q11" s="144" t="s">
        <v>21</v>
      </c>
      <c r="R11" s="144" t="s">
        <v>292</v>
      </c>
      <c r="S11" s="145" t="s">
        <v>274</v>
      </c>
      <c r="T11" s="144" t="s">
        <v>22</v>
      </c>
      <c r="U11" s="145" t="s">
        <v>26</v>
      </c>
      <c r="V11" s="145" t="s">
        <v>28</v>
      </c>
      <c r="W11" s="145" t="s">
        <v>27</v>
      </c>
    </row>
    <row r="12" spans="1:23" ht="15" thickBot="1">
      <c r="A12" s="110" t="s">
        <v>78</v>
      </c>
      <c r="B12" s="103" t="s">
        <v>65</v>
      </c>
      <c r="C12" s="63"/>
      <c r="D12" s="63"/>
      <c r="E12" s="135">
        <v>21</v>
      </c>
      <c r="F12" s="135">
        <v>19</v>
      </c>
      <c r="G12" s="135"/>
      <c r="H12" s="135"/>
      <c r="I12" s="135"/>
      <c r="J12" s="135"/>
      <c r="K12" s="135"/>
      <c r="L12" s="135"/>
      <c r="M12" s="135"/>
      <c r="N12" s="135"/>
      <c r="O12" s="135"/>
      <c r="P12" s="136"/>
      <c r="Q12" s="56">
        <f aca="true" t="shared" si="0" ref="Q12:Q24">SUM(E12:P12)</f>
        <v>40</v>
      </c>
      <c r="R12" s="56">
        <v>252</v>
      </c>
      <c r="S12" s="57">
        <f>+R12</f>
        <v>252</v>
      </c>
      <c r="T12" s="56"/>
      <c r="U12" s="58"/>
      <c r="V12" s="58"/>
      <c r="W12" s="59"/>
    </row>
    <row r="13" spans="1:23" ht="15" thickBot="1">
      <c r="A13" s="110" t="s">
        <v>78</v>
      </c>
      <c r="B13" s="103" t="s">
        <v>66</v>
      </c>
      <c r="C13" s="63"/>
      <c r="D13" s="63"/>
      <c r="E13" s="135">
        <v>26</v>
      </c>
      <c r="F13" s="135">
        <v>14</v>
      </c>
      <c r="G13" s="135"/>
      <c r="H13" s="135"/>
      <c r="I13" s="135"/>
      <c r="J13" s="135"/>
      <c r="K13" s="135"/>
      <c r="L13" s="135"/>
      <c r="M13" s="135"/>
      <c r="N13" s="135"/>
      <c r="O13" s="135"/>
      <c r="P13" s="136"/>
      <c r="Q13" s="56">
        <f t="shared" si="0"/>
        <v>40</v>
      </c>
      <c r="R13" s="56">
        <v>277</v>
      </c>
      <c r="S13" s="57">
        <f aca="true" t="shared" si="1" ref="S13:S75">+R13</f>
        <v>277</v>
      </c>
      <c r="T13" s="56"/>
      <c r="U13" s="58"/>
      <c r="V13" s="58"/>
      <c r="W13" s="59"/>
    </row>
    <row r="14" spans="1:23" ht="15" thickBot="1">
      <c r="A14" s="110" t="s">
        <v>78</v>
      </c>
      <c r="B14" s="103" t="s">
        <v>67</v>
      </c>
      <c r="C14" s="63"/>
      <c r="D14" s="63"/>
      <c r="E14" s="135">
        <v>33</v>
      </c>
      <c r="F14" s="135">
        <v>42</v>
      </c>
      <c r="G14" s="135"/>
      <c r="H14" s="135"/>
      <c r="I14" s="135"/>
      <c r="J14" s="135"/>
      <c r="K14" s="135"/>
      <c r="L14" s="135"/>
      <c r="M14" s="135"/>
      <c r="N14" s="135"/>
      <c r="O14" s="135"/>
      <c r="P14" s="136"/>
      <c r="Q14" s="56">
        <f t="shared" si="0"/>
        <v>75</v>
      </c>
      <c r="R14" s="56">
        <v>365</v>
      </c>
      <c r="S14" s="57">
        <f t="shared" si="1"/>
        <v>365</v>
      </c>
      <c r="T14" s="56"/>
      <c r="U14" s="58"/>
      <c r="V14" s="58"/>
      <c r="W14" s="59"/>
    </row>
    <row r="15" spans="1:23" ht="15" thickBot="1">
      <c r="A15" s="110" t="s">
        <v>78</v>
      </c>
      <c r="B15" s="103" t="s">
        <v>68</v>
      </c>
      <c r="C15" s="63"/>
      <c r="D15" s="63"/>
      <c r="E15" s="135">
        <v>23</v>
      </c>
      <c r="F15" s="135">
        <v>30</v>
      </c>
      <c r="G15" s="135"/>
      <c r="H15" s="135"/>
      <c r="I15" s="135"/>
      <c r="J15" s="135"/>
      <c r="K15" s="135"/>
      <c r="L15" s="135"/>
      <c r="M15" s="135"/>
      <c r="N15" s="135"/>
      <c r="O15" s="135"/>
      <c r="P15" s="136"/>
      <c r="Q15" s="56">
        <f t="shared" si="0"/>
        <v>53</v>
      </c>
      <c r="R15" s="56">
        <v>339</v>
      </c>
      <c r="S15" s="57">
        <f t="shared" si="1"/>
        <v>339</v>
      </c>
      <c r="T15" s="56"/>
      <c r="U15" s="58"/>
      <c r="V15" s="58"/>
      <c r="W15" s="59"/>
    </row>
    <row r="16" spans="1:23" ht="15" thickBot="1">
      <c r="A16" s="110" t="s">
        <v>78</v>
      </c>
      <c r="B16" s="103" t="s">
        <v>69</v>
      </c>
      <c r="C16" s="66"/>
      <c r="D16" s="63"/>
      <c r="E16" s="135">
        <v>51</v>
      </c>
      <c r="F16" s="135">
        <v>31</v>
      </c>
      <c r="G16" s="135"/>
      <c r="H16" s="135"/>
      <c r="I16" s="135"/>
      <c r="J16" s="135"/>
      <c r="K16" s="135"/>
      <c r="L16" s="135"/>
      <c r="M16" s="135"/>
      <c r="N16" s="135"/>
      <c r="O16" s="135"/>
      <c r="P16" s="136"/>
      <c r="Q16" s="56">
        <f t="shared" si="0"/>
        <v>82</v>
      </c>
      <c r="R16" s="56">
        <v>390</v>
      </c>
      <c r="S16" s="57">
        <f t="shared" si="1"/>
        <v>390</v>
      </c>
      <c r="T16" s="56"/>
      <c r="U16" s="58"/>
      <c r="V16" s="58"/>
      <c r="W16" s="59"/>
    </row>
    <row r="17" spans="1:23" ht="15" thickBot="1">
      <c r="A17" s="110" t="s">
        <v>78</v>
      </c>
      <c r="B17" s="103" t="s">
        <v>70</v>
      </c>
      <c r="C17" s="63"/>
      <c r="D17" s="63"/>
      <c r="E17" s="135">
        <v>41</v>
      </c>
      <c r="F17" s="135">
        <v>28</v>
      </c>
      <c r="G17" s="135"/>
      <c r="H17" s="135"/>
      <c r="I17" s="135"/>
      <c r="J17" s="135"/>
      <c r="K17" s="135"/>
      <c r="L17" s="135"/>
      <c r="M17" s="135"/>
      <c r="N17" s="135"/>
      <c r="O17" s="135"/>
      <c r="P17" s="136"/>
      <c r="Q17" s="56">
        <f t="shared" si="0"/>
        <v>69</v>
      </c>
      <c r="R17" s="56">
        <v>428</v>
      </c>
      <c r="S17" s="57">
        <f t="shared" si="1"/>
        <v>428</v>
      </c>
      <c r="T17" s="56"/>
      <c r="U17" s="58"/>
      <c r="V17" s="58"/>
      <c r="W17" s="59"/>
    </row>
    <row r="18" spans="1:23" ht="15" thickBot="1">
      <c r="A18" s="110" t="s">
        <v>78</v>
      </c>
      <c r="B18" s="103" t="s">
        <v>71</v>
      </c>
      <c r="C18" s="63"/>
      <c r="D18" s="63"/>
      <c r="E18" s="135">
        <v>5</v>
      </c>
      <c r="F18" s="135">
        <v>4</v>
      </c>
      <c r="G18" s="135"/>
      <c r="H18" s="135"/>
      <c r="I18" s="135"/>
      <c r="J18" s="135"/>
      <c r="K18" s="135"/>
      <c r="L18" s="135"/>
      <c r="M18" s="135"/>
      <c r="N18" s="135"/>
      <c r="O18" s="135"/>
      <c r="P18" s="136"/>
      <c r="Q18" s="56">
        <f t="shared" si="0"/>
        <v>9</v>
      </c>
      <c r="R18" s="56">
        <v>53</v>
      </c>
      <c r="S18" s="57">
        <f t="shared" si="1"/>
        <v>53</v>
      </c>
      <c r="T18" s="56"/>
      <c r="U18" s="58"/>
      <c r="V18" s="58"/>
      <c r="W18" s="59"/>
    </row>
    <row r="19" spans="1:23" ht="15" thickBot="1">
      <c r="A19" s="110" t="s">
        <v>78</v>
      </c>
      <c r="B19" s="103" t="s">
        <v>72</v>
      </c>
      <c r="C19" s="63"/>
      <c r="D19" s="63"/>
      <c r="E19" s="135">
        <v>0</v>
      </c>
      <c r="F19" s="135">
        <v>1</v>
      </c>
      <c r="G19" s="135"/>
      <c r="H19" s="135"/>
      <c r="I19" s="135"/>
      <c r="J19" s="135"/>
      <c r="K19" s="135"/>
      <c r="L19" s="135"/>
      <c r="M19" s="135"/>
      <c r="N19" s="135"/>
      <c r="O19" s="135"/>
      <c r="P19" s="136"/>
      <c r="Q19" s="56">
        <f t="shared" si="0"/>
        <v>1</v>
      </c>
      <c r="R19" s="56">
        <v>7</v>
      </c>
      <c r="S19" s="57">
        <f t="shared" si="1"/>
        <v>7</v>
      </c>
      <c r="T19" s="56"/>
      <c r="U19" s="58"/>
      <c r="V19" s="58"/>
      <c r="W19" s="59"/>
    </row>
    <row r="20" spans="1:23" ht="15" thickBot="1">
      <c r="A20" s="110" t="s">
        <v>78</v>
      </c>
      <c r="B20" s="103" t="s">
        <v>73</v>
      </c>
      <c r="C20" s="63"/>
      <c r="D20" s="63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6"/>
      <c r="Q20" s="56">
        <f t="shared" si="0"/>
        <v>0</v>
      </c>
      <c r="R20" s="56">
        <v>9</v>
      </c>
      <c r="S20" s="57">
        <f t="shared" si="1"/>
        <v>9</v>
      </c>
      <c r="T20" s="56"/>
      <c r="U20" s="58"/>
      <c r="V20" s="58"/>
      <c r="W20" s="59"/>
    </row>
    <row r="21" spans="1:23" ht="15" thickBot="1">
      <c r="A21" s="110" t="s">
        <v>78</v>
      </c>
      <c r="B21" s="103" t="s">
        <v>74</v>
      </c>
      <c r="C21" s="67"/>
      <c r="D21" s="63"/>
      <c r="E21" s="135">
        <v>0</v>
      </c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6"/>
      <c r="Q21" s="56">
        <f t="shared" si="0"/>
        <v>0</v>
      </c>
      <c r="R21" s="56">
        <v>9</v>
      </c>
      <c r="S21" s="57">
        <f t="shared" si="1"/>
        <v>9</v>
      </c>
      <c r="T21" s="56"/>
      <c r="U21" s="58"/>
      <c r="V21" s="58"/>
      <c r="W21" s="59"/>
    </row>
    <row r="22" spans="1:23" ht="15" thickBot="1">
      <c r="A22" s="110" t="s">
        <v>78</v>
      </c>
      <c r="B22" s="103" t="s">
        <v>75</v>
      </c>
      <c r="C22" s="63"/>
      <c r="D22" s="63"/>
      <c r="E22" s="135">
        <v>3</v>
      </c>
      <c r="F22" s="135">
        <v>1</v>
      </c>
      <c r="G22" s="135"/>
      <c r="H22" s="135"/>
      <c r="I22" s="135"/>
      <c r="J22" s="135"/>
      <c r="K22" s="135"/>
      <c r="L22" s="135"/>
      <c r="M22" s="135"/>
      <c r="N22" s="135"/>
      <c r="O22" s="135"/>
      <c r="P22" s="136"/>
      <c r="Q22" s="56">
        <f t="shared" si="0"/>
        <v>4</v>
      </c>
      <c r="R22" s="56">
        <v>25</v>
      </c>
      <c r="S22" s="57">
        <f t="shared" si="1"/>
        <v>25</v>
      </c>
      <c r="T22" s="56"/>
      <c r="U22" s="58"/>
      <c r="V22" s="58"/>
      <c r="W22" s="59"/>
    </row>
    <row r="23" spans="1:23" ht="15" thickBot="1">
      <c r="A23" s="110" t="s">
        <v>78</v>
      </c>
      <c r="B23" s="103" t="s">
        <v>76</v>
      </c>
      <c r="C23" s="63"/>
      <c r="D23" s="63"/>
      <c r="E23" s="135">
        <v>1</v>
      </c>
      <c r="F23" s="135">
        <v>1</v>
      </c>
      <c r="G23" s="135"/>
      <c r="H23" s="135"/>
      <c r="I23" s="135"/>
      <c r="J23" s="135"/>
      <c r="K23" s="135"/>
      <c r="L23" s="135"/>
      <c r="M23" s="135"/>
      <c r="N23" s="135"/>
      <c r="O23" s="135"/>
      <c r="P23" s="136"/>
      <c r="Q23" s="56">
        <f t="shared" si="0"/>
        <v>2</v>
      </c>
      <c r="R23" s="56">
        <v>34</v>
      </c>
      <c r="S23" s="57">
        <f t="shared" si="1"/>
        <v>34</v>
      </c>
      <c r="T23" s="56"/>
      <c r="U23" s="58"/>
      <c r="V23" s="58"/>
      <c r="W23" s="59"/>
    </row>
    <row r="24" spans="1:23" ht="15" thickBot="1">
      <c r="A24" s="110" t="s">
        <v>78</v>
      </c>
      <c r="B24" s="103" t="s">
        <v>77</v>
      </c>
      <c r="C24" s="63"/>
      <c r="D24" s="63"/>
      <c r="E24" s="135">
        <v>1</v>
      </c>
      <c r="F24" s="135">
        <v>6</v>
      </c>
      <c r="G24" s="135"/>
      <c r="H24" s="135"/>
      <c r="I24" s="135"/>
      <c r="J24" s="135"/>
      <c r="K24" s="135"/>
      <c r="L24" s="135"/>
      <c r="M24" s="135"/>
      <c r="N24" s="135"/>
      <c r="O24" s="135"/>
      <c r="P24" s="136"/>
      <c r="Q24" s="56">
        <f t="shared" si="0"/>
        <v>7</v>
      </c>
      <c r="R24" s="56">
        <v>57</v>
      </c>
      <c r="S24" s="57">
        <f t="shared" si="1"/>
        <v>57</v>
      </c>
      <c r="T24" s="56"/>
      <c r="U24" s="58"/>
      <c r="V24" s="58"/>
      <c r="W24" s="59"/>
    </row>
    <row r="25" spans="1:23" s="65" customFormat="1" ht="15" thickBot="1">
      <c r="A25" s="196" t="s">
        <v>200</v>
      </c>
      <c r="B25" s="197"/>
      <c r="C25" s="45">
        <f>+D25/Metas!O30</f>
        <v>1.7911147579416247</v>
      </c>
      <c r="D25" s="19">
        <f>+Q25/S25</f>
        <v>0.17015590200445435</v>
      </c>
      <c r="E25" s="85">
        <f>SUM(E12:E24)</f>
        <v>205</v>
      </c>
      <c r="F25" s="85">
        <f aca="true" t="shared" si="2" ref="F25:P25">SUM(F12:F24)</f>
        <v>177</v>
      </c>
      <c r="G25" s="85">
        <f t="shared" si="2"/>
        <v>0</v>
      </c>
      <c r="H25" s="85">
        <f t="shared" si="2"/>
        <v>0</v>
      </c>
      <c r="I25" s="85">
        <f t="shared" si="2"/>
        <v>0</v>
      </c>
      <c r="J25" s="85">
        <f t="shared" si="2"/>
        <v>0</v>
      </c>
      <c r="K25" s="85">
        <f t="shared" si="2"/>
        <v>0</v>
      </c>
      <c r="L25" s="85">
        <f t="shared" si="2"/>
        <v>0</v>
      </c>
      <c r="M25" s="85">
        <f t="shared" si="2"/>
        <v>0</v>
      </c>
      <c r="N25" s="85">
        <f t="shared" si="2"/>
        <v>0</v>
      </c>
      <c r="O25" s="85">
        <f t="shared" si="2"/>
        <v>0</v>
      </c>
      <c r="P25" s="85">
        <f t="shared" si="2"/>
        <v>0</v>
      </c>
      <c r="Q25" s="89">
        <f aca="true" t="shared" si="3" ref="Q25:W25">SUM(Q12:Q24)</f>
        <v>382</v>
      </c>
      <c r="R25" s="55">
        <f t="shared" si="3"/>
        <v>2245</v>
      </c>
      <c r="S25" s="55">
        <f t="shared" si="3"/>
        <v>2245</v>
      </c>
      <c r="T25" s="55">
        <f t="shared" si="3"/>
        <v>0</v>
      </c>
      <c r="U25" s="55">
        <f t="shared" si="3"/>
        <v>0</v>
      </c>
      <c r="V25" s="55">
        <f t="shared" si="3"/>
        <v>0</v>
      </c>
      <c r="W25" s="55">
        <f t="shared" si="3"/>
        <v>0</v>
      </c>
    </row>
    <row r="26" spans="1:23" ht="15" thickBot="1">
      <c r="A26" s="110" t="s">
        <v>79</v>
      </c>
      <c r="B26" s="103" t="s">
        <v>80</v>
      </c>
      <c r="C26" s="63"/>
      <c r="D26" s="63"/>
      <c r="E26" s="122">
        <v>34</v>
      </c>
      <c r="F26" s="122">
        <v>21</v>
      </c>
      <c r="G26" s="122"/>
      <c r="H26" s="122"/>
      <c r="I26" s="122"/>
      <c r="J26" s="122"/>
      <c r="K26" s="122"/>
      <c r="L26" s="122"/>
      <c r="M26" s="122"/>
      <c r="N26" s="122"/>
      <c r="O26" s="122"/>
      <c r="P26" s="84"/>
      <c r="Q26" s="56">
        <f aca="true" t="shared" si="4" ref="Q26:Q35">SUM(E26:P26)</f>
        <v>55</v>
      </c>
      <c r="R26" s="56">
        <v>450</v>
      </c>
      <c r="S26" s="57">
        <f t="shared" si="1"/>
        <v>450</v>
      </c>
      <c r="T26" s="56"/>
      <c r="U26" s="58"/>
      <c r="V26" s="58"/>
      <c r="W26" s="59"/>
    </row>
    <row r="27" spans="1:23" ht="15" thickBot="1">
      <c r="A27" s="110" t="s">
        <v>79</v>
      </c>
      <c r="B27" s="103" t="s">
        <v>81</v>
      </c>
      <c r="C27" s="63"/>
      <c r="D27" s="63"/>
      <c r="E27" s="122">
        <v>21</v>
      </c>
      <c r="F27" s="122">
        <v>44</v>
      </c>
      <c r="G27" s="122"/>
      <c r="H27" s="122"/>
      <c r="I27" s="122"/>
      <c r="J27" s="122"/>
      <c r="K27" s="122"/>
      <c r="L27" s="122"/>
      <c r="M27" s="122"/>
      <c r="N27" s="122"/>
      <c r="O27" s="122"/>
      <c r="P27" s="84"/>
      <c r="Q27" s="56">
        <f t="shared" si="4"/>
        <v>65</v>
      </c>
      <c r="R27" s="56">
        <v>478</v>
      </c>
      <c r="S27" s="57">
        <f t="shared" si="1"/>
        <v>478</v>
      </c>
      <c r="T27" s="56"/>
      <c r="U27" s="58"/>
      <c r="V27" s="58"/>
      <c r="W27" s="59"/>
    </row>
    <row r="28" spans="1:23" ht="15" thickBot="1">
      <c r="A28" s="110" t="s">
        <v>79</v>
      </c>
      <c r="B28" s="103" t="s">
        <v>82</v>
      </c>
      <c r="C28" s="63"/>
      <c r="D28" s="63"/>
      <c r="E28" s="122">
        <v>60</v>
      </c>
      <c r="F28" s="122">
        <v>50</v>
      </c>
      <c r="G28" s="122"/>
      <c r="H28" s="122"/>
      <c r="I28" s="122"/>
      <c r="J28" s="122"/>
      <c r="K28" s="122"/>
      <c r="L28" s="122"/>
      <c r="M28" s="122"/>
      <c r="N28" s="122"/>
      <c r="O28" s="122"/>
      <c r="P28" s="84"/>
      <c r="Q28" s="56">
        <f t="shared" si="4"/>
        <v>110</v>
      </c>
      <c r="R28" s="56">
        <v>622</v>
      </c>
      <c r="S28" s="57">
        <f t="shared" si="1"/>
        <v>622</v>
      </c>
      <c r="T28" s="56"/>
      <c r="U28" s="58"/>
      <c r="V28" s="58"/>
      <c r="W28" s="59"/>
    </row>
    <row r="29" spans="1:23" ht="15" thickBot="1">
      <c r="A29" s="110" t="s">
        <v>79</v>
      </c>
      <c r="B29" s="103" t="s">
        <v>83</v>
      </c>
      <c r="C29" s="63"/>
      <c r="D29" s="63"/>
      <c r="E29" s="122">
        <v>5</v>
      </c>
      <c r="F29" s="122">
        <v>5</v>
      </c>
      <c r="G29" s="122"/>
      <c r="H29" s="122"/>
      <c r="I29" s="122"/>
      <c r="J29" s="122"/>
      <c r="K29" s="122"/>
      <c r="L29" s="122"/>
      <c r="M29" s="122"/>
      <c r="N29" s="122"/>
      <c r="O29" s="122"/>
      <c r="P29" s="84"/>
      <c r="Q29" s="56">
        <f t="shared" si="4"/>
        <v>10</v>
      </c>
      <c r="R29" s="56">
        <v>96</v>
      </c>
      <c r="S29" s="57">
        <f t="shared" si="1"/>
        <v>96</v>
      </c>
      <c r="T29" s="56"/>
      <c r="U29" s="58"/>
      <c r="V29" s="58"/>
      <c r="W29" s="59"/>
    </row>
    <row r="30" spans="1:23" ht="15" thickBot="1">
      <c r="A30" s="110" t="s">
        <v>79</v>
      </c>
      <c r="B30" s="103" t="s">
        <v>84</v>
      </c>
      <c r="C30" s="63"/>
      <c r="D30" s="63"/>
      <c r="E30" s="122">
        <v>49</v>
      </c>
      <c r="F30" s="122">
        <v>46</v>
      </c>
      <c r="G30" s="122"/>
      <c r="H30" s="122"/>
      <c r="I30" s="122"/>
      <c r="J30" s="122"/>
      <c r="K30" s="122"/>
      <c r="L30" s="122"/>
      <c r="M30" s="122"/>
      <c r="N30" s="122"/>
      <c r="O30" s="122"/>
      <c r="P30" s="84"/>
      <c r="Q30" s="56">
        <f t="shared" si="4"/>
        <v>95</v>
      </c>
      <c r="R30" s="56">
        <v>579</v>
      </c>
      <c r="S30" s="57">
        <f t="shared" si="1"/>
        <v>579</v>
      </c>
      <c r="T30" s="56"/>
      <c r="U30" s="58"/>
      <c r="V30" s="58"/>
      <c r="W30" s="59"/>
    </row>
    <row r="31" spans="1:23" ht="15" thickBot="1">
      <c r="A31" s="110" t="s">
        <v>79</v>
      </c>
      <c r="B31" s="103" t="s">
        <v>85</v>
      </c>
      <c r="C31" s="63"/>
      <c r="D31" s="63"/>
      <c r="E31" s="122">
        <v>0</v>
      </c>
      <c r="F31" s="122">
        <v>0</v>
      </c>
      <c r="G31" s="122"/>
      <c r="H31" s="122"/>
      <c r="I31" s="122"/>
      <c r="J31" s="122"/>
      <c r="K31" s="122"/>
      <c r="L31" s="122"/>
      <c r="M31" s="122"/>
      <c r="N31" s="122"/>
      <c r="O31" s="122"/>
      <c r="P31" s="84"/>
      <c r="Q31" s="56">
        <f t="shared" si="4"/>
        <v>0</v>
      </c>
      <c r="R31" s="56">
        <v>17</v>
      </c>
      <c r="S31" s="57">
        <f t="shared" si="1"/>
        <v>17</v>
      </c>
      <c r="T31" s="56"/>
      <c r="U31" s="58"/>
      <c r="V31" s="58"/>
      <c r="W31" s="59"/>
    </row>
    <row r="32" spans="1:23" ht="15" thickBot="1">
      <c r="A32" s="110" t="s">
        <v>79</v>
      </c>
      <c r="B32" s="103" t="s">
        <v>86</v>
      </c>
      <c r="C32" s="63"/>
      <c r="D32" s="63"/>
      <c r="E32" s="122">
        <v>4</v>
      </c>
      <c r="F32" s="122">
        <v>1</v>
      </c>
      <c r="G32" s="122"/>
      <c r="H32" s="122"/>
      <c r="I32" s="122"/>
      <c r="J32" s="122"/>
      <c r="K32" s="122"/>
      <c r="L32" s="122"/>
      <c r="M32" s="122"/>
      <c r="N32" s="122"/>
      <c r="O32" s="122"/>
      <c r="P32" s="84"/>
      <c r="Q32" s="56">
        <f t="shared" si="4"/>
        <v>5</v>
      </c>
      <c r="R32" s="56">
        <v>17</v>
      </c>
      <c r="S32" s="57">
        <f t="shared" si="1"/>
        <v>17</v>
      </c>
      <c r="T32" s="56"/>
      <c r="U32" s="58"/>
      <c r="V32" s="58"/>
      <c r="W32" s="59"/>
    </row>
    <row r="33" spans="1:23" ht="15" thickBot="1">
      <c r="A33" s="110" t="s">
        <v>79</v>
      </c>
      <c r="B33" s="103" t="s">
        <v>87</v>
      </c>
      <c r="C33" s="63"/>
      <c r="D33" s="63"/>
      <c r="E33" s="122">
        <v>11</v>
      </c>
      <c r="F33" s="122">
        <v>4</v>
      </c>
      <c r="G33" s="122"/>
      <c r="H33" s="122"/>
      <c r="I33" s="122"/>
      <c r="J33" s="122"/>
      <c r="K33" s="122"/>
      <c r="L33" s="122"/>
      <c r="M33" s="122"/>
      <c r="N33" s="122"/>
      <c r="O33" s="122"/>
      <c r="P33" s="84"/>
      <c r="Q33" s="56">
        <f t="shared" si="4"/>
        <v>15</v>
      </c>
      <c r="R33" s="56">
        <v>81</v>
      </c>
      <c r="S33" s="57">
        <f t="shared" si="1"/>
        <v>81</v>
      </c>
      <c r="T33" s="56"/>
      <c r="U33" s="58"/>
      <c r="V33" s="58"/>
      <c r="W33" s="59"/>
    </row>
    <row r="34" spans="1:23" ht="15" thickBot="1">
      <c r="A34" s="110" t="s">
        <v>79</v>
      </c>
      <c r="B34" s="103" t="s">
        <v>88</v>
      </c>
      <c r="C34" s="63"/>
      <c r="D34" s="63"/>
      <c r="E34" s="122"/>
      <c r="F34" s="122">
        <v>2</v>
      </c>
      <c r="G34" s="122"/>
      <c r="H34" s="122"/>
      <c r="I34" s="122"/>
      <c r="J34" s="122"/>
      <c r="K34" s="122"/>
      <c r="L34" s="122"/>
      <c r="M34" s="122"/>
      <c r="N34" s="122"/>
      <c r="O34" s="122"/>
      <c r="P34" s="84"/>
      <c r="Q34" s="56">
        <f t="shared" si="4"/>
        <v>2</v>
      </c>
      <c r="R34" s="56">
        <v>10</v>
      </c>
      <c r="S34" s="57">
        <f t="shared" si="1"/>
        <v>10</v>
      </c>
      <c r="T34" s="56"/>
      <c r="U34" s="58"/>
      <c r="V34" s="58"/>
      <c r="W34" s="59"/>
    </row>
    <row r="35" spans="1:23" ht="15" thickBot="1">
      <c r="A35" s="110" t="s">
        <v>79</v>
      </c>
      <c r="B35" s="103" t="s">
        <v>89</v>
      </c>
      <c r="C35" s="63"/>
      <c r="D35" s="63"/>
      <c r="E35" s="122">
        <v>9</v>
      </c>
      <c r="F35" s="122">
        <v>6</v>
      </c>
      <c r="G35" s="122"/>
      <c r="H35" s="122"/>
      <c r="I35" s="122"/>
      <c r="J35" s="122"/>
      <c r="K35" s="122"/>
      <c r="L35" s="122"/>
      <c r="M35" s="122"/>
      <c r="N35" s="122"/>
      <c r="O35" s="122"/>
      <c r="P35" s="84"/>
      <c r="Q35" s="56">
        <f t="shared" si="4"/>
        <v>15</v>
      </c>
      <c r="R35" s="56">
        <v>71</v>
      </c>
      <c r="S35" s="57">
        <f t="shared" si="1"/>
        <v>71</v>
      </c>
      <c r="T35" s="56"/>
      <c r="U35" s="58"/>
      <c r="V35" s="58"/>
      <c r="W35" s="59"/>
    </row>
    <row r="36" spans="1:23" s="65" customFormat="1" ht="15" thickBot="1">
      <c r="A36" s="196" t="s">
        <v>201</v>
      </c>
      <c r="B36" s="197"/>
      <c r="C36" s="45">
        <f>+D36/Metas!O28</f>
        <v>1.584077466498039</v>
      </c>
      <c r="D36" s="19">
        <f>+Q36/S36</f>
        <v>0.1536555142503098</v>
      </c>
      <c r="E36" s="55">
        <f aca="true" t="shared" si="5" ref="E36:W36">SUM(E26:E35)</f>
        <v>193</v>
      </c>
      <c r="F36" s="55">
        <f t="shared" si="5"/>
        <v>179</v>
      </c>
      <c r="G36" s="55">
        <f t="shared" si="5"/>
        <v>0</v>
      </c>
      <c r="H36" s="55">
        <f t="shared" si="5"/>
        <v>0</v>
      </c>
      <c r="I36" s="55">
        <f t="shared" si="5"/>
        <v>0</v>
      </c>
      <c r="J36" s="55">
        <f t="shared" si="5"/>
        <v>0</v>
      </c>
      <c r="K36" s="55">
        <f t="shared" si="5"/>
        <v>0</v>
      </c>
      <c r="L36" s="55">
        <f t="shared" si="5"/>
        <v>0</v>
      </c>
      <c r="M36" s="55">
        <f t="shared" si="5"/>
        <v>0</v>
      </c>
      <c r="N36" s="55">
        <f t="shared" si="5"/>
        <v>0</v>
      </c>
      <c r="O36" s="55">
        <f t="shared" si="5"/>
        <v>0</v>
      </c>
      <c r="P36" s="55">
        <f t="shared" si="5"/>
        <v>0</v>
      </c>
      <c r="Q36" s="89">
        <f t="shared" si="5"/>
        <v>372</v>
      </c>
      <c r="R36" s="55">
        <f t="shared" si="5"/>
        <v>2421</v>
      </c>
      <c r="S36" s="55">
        <f t="shared" si="5"/>
        <v>2421</v>
      </c>
      <c r="T36" s="55">
        <f t="shared" si="5"/>
        <v>0</v>
      </c>
      <c r="U36" s="55">
        <f t="shared" si="5"/>
        <v>0</v>
      </c>
      <c r="V36" s="55">
        <f t="shared" si="5"/>
        <v>0</v>
      </c>
      <c r="W36" s="55">
        <f t="shared" si="5"/>
        <v>0</v>
      </c>
    </row>
    <row r="37" spans="1:23" ht="15" thickBot="1">
      <c r="A37" s="110" t="s">
        <v>100</v>
      </c>
      <c r="B37" s="103" t="s">
        <v>90</v>
      </c>
      <c r="C37" s="63"/>
      <c r="D37" s="63"/>
      <c r="E37" s="122">
        <v>1</v>
      </c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84"/>
      <c r="Q37" s="56">
        <f aca="true" t="shared" si="6" ref="Q37:Q46">SUM(E37:P37)</f>
        <v>1</v>
      </c>
      <c r="R37" s="56">
        <v>10</v>
      </c>
      <c r="S37" s="57">
        <f t="shared" si="1"/>
        <v>10</v>
      </c>
      <c r="T37" s="56"/>
      <c r="U37" s="58"/>
      <c r="V37" s="58"/>
      <c r="W37" s="59"/>
    </row>
    <row r="38" spans="1:23" ht="15" thickBot="1">
      <c r="A38" s="110" t="s">
        <v>100</v>
      </c>
      <c r="B38" s="103" t="s">
        <v>91</v>
      </c>
      <c r="C38" s="63"/>
      <c r="D38" s="63"/>
      <c r="E38" s="122">
        <v>1</v>
      </c>
      <c r="F38" s="122">
        <v>0</v>
      </c>
      <c r="G38" s="122"/>
      <c r="H38" s="122"/>
      <c r="I38" s="122"/>
      <c r="J38" s="122"/>
      <c r="K38" s="122"/>
      <c r="L38" s="122"/>
      <c r="M38" s="122"/>
      <c r="N38" s="122"/>
      <c r="O38" s="122"/>
      <c r="P38" s="84"/>
      <c r="Q38" s="56">
        <f t="shared" si="6"/>
        <v>1</v>
      </c>
      <c r="R38" s="56">
        <v>7</v>
      </c>
      <c r="S38" s="57">
        <f t="shared" si="1"/>
        <v>7</v>
      </c>
      <c r="T38" s="56"/>
      <c r="U38" s="58"/>
      <c r="V38" s="58"/>
      <c r="W38" s="59"/>
    </row>
    <row r="39" spans="1:23" ht="15" thickBot="1">
      <c r="A39" s="110" t="s">
        <v>100</v>
      </c>
      <c r="B39" s="103" t="s">
        <v>92</v>
      </c>
      <c r="C39" s="63"/>
      <c r="D39" s="63"/>
      <c r="E39" s="122">
        <v>1</v>
      </c>
      <c r="F39" s="122">
        <v>3</v>
      </c>
      <c r="G39" s="122"/>
      <c r="H39" s="122"/>
      <c r="I39" s="122"/>
      <c r="J39" s="122"/>
      <c r="K39" s="122"/>
      <c r="L39" s="122"/>
      <c r="M39" s="122"/>
      <c r="N39" s="122"/>
      <c r="O39" s="122"/>
      <c r="P39" s="84"/>
      <c r="Q39" s="56">
        <f t="shared" si="6"/>
        <v>4</v>
      </c>
      <c r="R39" s="56">
        <v>13</v>
      </c>
      <c r="S39" s="57">
        <f t="shared" si="1"/>
        <v>13</v>
      </c>
      <c r="T39" s="56"/>
      <c r="U39" s="58"/>
      <c r="V39" s="58"/>
      <c r="W39" s="59"/>
    </row>
    <row r="40" spans="1:23" ht="15" thickBot="1">
      <c r="A40" s="110" t="s">
        <v>100</v>
      </c>
      <c r="B40" s="103" t="s">
        <v>93</v>
      </c>
      <c r="C40" s="63"/>
      <c r="D40" s="63"/>
      <c r="E40" s="122">
        <v>1</v>
      </c>
      <c r="F40" s="122">
        <v>0</v>
      </c>
      <c r="G40" s="122"/>
      <c r="H40" s="122"/>
      <c r="I40" s="122"/>
      <c r="J40" s="122"/>
      <c r="K40" s="122"/>
      <c r="L40" s="122"/>
      <c r="M40" s="122"/>
      <c r="N40" s="122"/>
      <c r="O40" s="122"/>
      <c r="P40" s="84"/>
      <c r="Q40" s="56">
        <f t="shared" si="6"/>
        <v>1</v>
      </c>
      <c r="R40" s="56">
        <v>1</v>
      </c>
      <c r="S40" s="57">
        <f t="shared" si="1"/>
        <v>1</v>
      </c>
      <c r="T40" s="56"/>
      <c r="U40" s="58"/>
      <c r="V40" s="58"/>
      <c r="W40" s="59"/>
    </row>
    <row r="41" spans="1:23" ht="15" thickBot="1">
      <c r="A41" s="110" t="s">
        <v>100</v>
      </c>
      <c r="B41" s="103" t="s">
        <v>94</v>
      </c>
      <c r="C41" s="63"/>
      <c r="D41" s="63"/>
      <c r="E41" s="122">
        <v>1</v>
      </c>
      <c r="F41" s="122">
        <v>4</v>
      </c>
      <c r="G41" s="122"/>
      <c r="H41" s="122"/>
      <c r="I41" s="122"/>
      <c r="J41" s="122"/>
      <c r="K41" s="122"/>
      <c r="L41" s="122"/>
      <c r="M41" s="122"/>
      <c r="N41" s="122"/>
      <c r="O41" s="122"/>
      <c r="P41" s="84"/>
      <c r="Q41" s="56">
        <f t="shared" si="6"/>
        <v>5</v>
      </c>
      <c r="R41" s="56">
        <v>24</v>
      </c>
      <c r="S41" s="57">
        <f t="shared" si="1"/>
        <v>24</v>
      </c>
      <c r="T41" s="56"/>
      <c r="U41" s="58"/>
      <c r="V41" s="58"/>
      <c r="W41" s="59"/>
    </row>
    <row r="42" spans="1:23" ht="15" thickBot="1">
      <c r="A42" s="110" t="s">
        <v>100</v>
      </c>
      <c r="B42" s="103" t="s">
        <v>95</v>
      </c>
      <c r="C42" s="63"/>
      <c r="D42" s="63"/>
      <c r="E42" s="122"/>
      <c r="F42" s="122">
        <v>1</v>
      </c>
      <c r="G42" s="122"/>
      <c r="H42" s="122"/>
      <c r="I42" s="122"/>
      <c r="J42" s="122"/>
      <c r="K42" s="122"/>
      <c r="L42" s="122"/>
      <c r="M42" s="122"/>
      <c r="N42" s="122"/>
      <c r="O42" s="122"/>
      <c r="P42" s="84"/>
      <c r="Q42" s="56">
        <f t="shared" si="6"/>
        <v>1</v>
      </c>
      <c r="R42" s="56">
        <v>11</v>
      </c>
      <c r="S42" s="57">
        <f t="shared" si="1"/>
        <v>11</v>
      </c>
      <c r="T42" s="56"/>
      <c r="U42" s="58"/>
      <c r="V42" s="58"/>
      <c r="W42" s="59"/>
    </row>
    <row r="43" spans="1:23" ht="15" thickBot="1">
      <c r="A43" s="110" t="s">
        <v>100</v>
      </c>
      <c r="B43" s="103" t="s">
        <v>96</v>
      </c>
      <c r="C43" s="63"/>
      <c r="D43" s="63"/>
      <c r="E43" s="122">
        <v>0</v>
      </c>
      <c r="F43" s="122">
        <v>0</v>
      </c>
      <c r="G43" s="122"/>
      <c r="H43" s="122"/>
      <c r="I43" s="122"/>
      <c r="J43" s="122"/>
      <c r="K43" s="122"/>
      <c r="L43" s="122"/>
      <c r="M43" s="122"/>
      <c r="N43" s="122"/>
      <c r="O43" s="122"/>
      <c r="P43" s="84"/>
      <c r="Q43" s="56">
        <f t="shared" si="6"/>
        <v>0</v>
      </c>
      <c r="R43" s="56">
        <v>16</v>
      </c>
      <c r="S43" s="57">
        <f t="shared" si="1"/>
        <v>16</v>
      </c>
      <c r="T43" s="56"/>
      <c r="U43" s="58"/>
      <c r="V43" s="58"/>
      <c r="W43" s="59"/>
    </row>
    <row r="44" spans="1:23" ht="15" thickBot="1">
      <c r="A44" s="110" t="s">
        <v>100</v>
      </c>
      <c r="B44" s="103" t="s">
        <v>97</v>
      </c>
      <c r="C44" s="63"/>
      <c r="D44" s="63"/>
      <c r="E44" s="122">
        <v>1</v>
      </c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84"/>
      <c r="Q44" s="56">
        <f t="shared" si="6"/>
        <v>1</v>
      </c>
      <c r="R44" s="56">
        <v>2</v>
      </c>
      <c r="S44" s="57">
        <f t="shared" si="1"/>
        <v>2</v>
      </c>
      <c r="T44" s="56"/>
      <c r="U44" s="58"/>
      <c r="V44" s="58"/>
      <c r="W44" s="59"/>
    </row>
    <row r="45" spans="1:23" ht="15" thickBot="1">
      <c r="A45" s="110" t="s">
        <v>100</v>
      </c>
      <c r="B45" s="103" t="s">
        <v>98</v>
      </c>
      <c r="C45" s="63"/>
      <c r="D45" s="63"/>
      <c r="E45" s="122">
        <v>0</v>
      </c>
      <c r="F45" s="122">
        <v>1</v>
      </c>
      <c r="G45" s="122"/>
      <c r="H45" s="122"/>
      <c r="I45" s="122"/>
      <c r="J45" s="122"/>
      <c r="K45" s="122"/>
      <c r="L45" s="122"/>
      <c r="M45" s="122"/>
      <c r="N45" s="122"/>
      <c r="O45" s="122"/>
      <c r="P45" s="84"/>
      <c r="Q45" s="56">
        <f t="shared" si="6"/>
        <v>1</v>
      </c>
      <c r="R45" s="56">
        <v>36</v>
      </c>
      <c r="S45" s="57">
        <f t="shared" si="1"/>
        <v>36</v>
      </c>
      <c r="T45" s="56"/>
      <c r="U45" s="58"/>
      <c r="V45" s="58"/>
      <c r="W45" s="59"/>
    </row>
    <row r="46" spans="1:23" ht="15" thickBot="1">
      <c r="A46" s="110" t="s">
        <v>100</v>
      </c>
      <c r="B46" s="103" t="s">
        <v>99</v>
      </c>
      <c r="C46" s="63"/>
      <c r="D46" s="63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84"/>
      <c r="Q46" s="56">
        <f t="shared" si="6"/>
        <v>0</v>
      </c>
      <c r="R46" s="56">
        <v>3</v>
      </c>
      <c r="S46" s="57">
        <f t="shared" si="1"/>
        <v>3</v>
      </c>
      <c r="T46" s="56"/>
      <c r="U46" s="58"/>
      <c r="V46" s="58"/>
      <c r="W46" s="59"/>
    </row>
    <row r="47" spans="1:23" s="65" customFormat="1" ht="15" thickBot="1">
      <c r="A47" s="196" t="s">
        <v>202</v>
      </c>
      <c r="B47" s="197"/>
      <c r="C47" s="45">
        <f>+D47/Metas!O37</f>
        <v>1.2572290671360322</v>
      </c>
      <c r="D47" s="19">
        <f>+Q47/S47</f>
        <v>0.12195121951219512</v>
      </c>
      <c r="E47" s="55">
        <f>SUM(E37:E46)</f>
        <v>6</v>
      </c>
      <c r="F47" s="55">
        <f aca="true" t="shared" si="7" ref="F47:P47">SUM(F37:F46)</f>
        <v>9</v>
      </c>
      <c r="G47" s="55">
        <f t="shared" si="7"/>
        <v>0</v>
      </c>
      <c r="H47" s="55">
        <f t="shared" si="7"/>
        <v>0</v>
      </c>
      <c r="I47" s="55">
        <f t="shared" si="7"/>
        <v>0</v>
      </c>
      <c r="J47" s="55">
        <f t="shared" si="7"/>
        <v>0</v>
      </c>
      <c r="K47" s="55">
        <f t="shared" si="7"/>
        <v>0</v>
      </c>
      <c r="L47" s="55">
        <f t="shared" si="7"/>
        <v>0</v>
      </c>
      <c r="M47" s="55">
        <f t="shared" si="7"/>
        <v>0</v>
      </c>
      <c r="N47" s="55">
        <f t="shared" si="7"/>
        <v>0</v>
      </c>
      <c r="O47" s="55">
        <f t="shared" si="7"/>
        <v>0</v>
      </c>
      <c r="P47" s="55">
        <f t="shared" si="7"/>
        <v>0</v>
      </c>
      <c r="Q47" s="89">
        <f>SUM(Q37:Q46)</f>
        <v>15</v>
      </c>
      <c r="R47" s="55">
        <f aca="true" t="shared" si="8" ref="R47:W47">SUM(R37:R46)</f>
        <v>123</v>
      </c>
      <c r="S47" s="55">
        <f t="shared" si="8"/>
        <v>123</v>
      </c>
      <c r="T47" s="55">
        <f t="shared" si="8"/>
        <v>0</v>
      </c>
      <c r="U47" s="55">
        <f t="shared" si="8"/>
        <v>0</v>
      </c>
      <c r="V47" s="55">
        <f t="shared" si="8"/>
        <v>0</v>
      </c>
      <c r="W47" s="55">
        <f t="shared" si="8"/>
        <v>0</v>
      </c>
    </row>
    <row r="48" spans="1:23" ht="15" thickBot="1">
      <c r="A48" s="110" t="s">
        <v>114</v>
      </c>
      <c r="B48" s="103" t="s">
        <v>101</v>
      </c>
      <c r="C48" s="63"/>
      <c r="D48" s="63"/>
      <c r="E48" s="124">
        <v>12</v>
      </c>
      <c r="F48" s="124">
        <v>8</v>
      </c>
      <c r="G48" s="124"/>
      <c r="H48" s="124"/>
      <c r="I48" s="124"/>
      <c r="J48" s="124"/>
      <c r="K48" s="124"/>
      <c r="L48" s="124"/>
      <c r="M48" s="124"/>
      <c r="N48" s="124"/>
      <c r="O48" s="124"/>
      <c r="P48" s="84"/>
      <c r="Q48" s="56">
        <f aca="true" t="shared" si="9" ref="Q48:Q60">SUM(E48:P48)</f>
        <v>20</v>
      </c>
      <c r="R48" s="56">
        <v>97</v>
      </c>
      <c r="S48" s="57">
        <f t="shared" si="1"/>
        <v>97</v>
      </c>
      <c r="T48" s="56"/>
      <c r="U48" s="58"/>
      <c r="V48" s="58"/>
      <c r="W48" s="59"/>
    </row>
    <row r="49" spans="1:23" ht="15" thickBot="1">
      <c r="A49" s="110" t="s">
        <v>114</v>
      </c>
      <c r="B49" s="103" t="s">
        <v>102</v>
      </c>
      <c r="C49" s="63"/>
      <c r="D49" s="63"/>
      <c r="E49" s="124"/>
      <c r="F49" s="124">
        <v>1</v>
      </c>
      <c r="G49" s="124"/>
      <c r="H49" s="124"/>
      <c r="I49" s="124"/>
      <c r="J49" s="124"/>
      <c r="K49" s="124"/>
      <c r="L49" s="124"/>
      <c r="M49" s="124"/>
      <c r="N49" s="124"/>
      <c r="O49" s="124"/>
      <c r="P49" s="84"/>
      <c r="Q49" s="56">
        <f t="shared" si="9"/>
        <v>1</v>
      </c>
      <c r="R49" s="56">
        <v>7</v>
      </c>
      <c r="S49" s="57">
        <f t="shared" si="1"/>
        <v>7</v>
      </c>
      <c r="T49" s="56"/>
      <c r="U49" s="58"/>
      <c r="V49" s="58"/>
      <c r="W49" s="59"/>
    </row>
    <row r="50" spans="1:23" ht="15" thickBot="1">
      <c r="A50" s="110" t="s">
        <v>114</v>
      </c>
      <c r="B50" s="103" t="s">
        <v>103</v>
      </c>
      <c r="C50" s="63"/>
      <c r="D50" s="63"/>
      <c r="E50" s="124">
        <v>1</v>
      </c>
      <c r="F50" s="124">
        <v>1</v>
      </c>
      <c r="G50" s="124"/>
      <c r="H50" s="124"/>
      <c r="I50" s="124"/>
      <c r="J50" s="124"/>
      <c r="K50" s="124"/>
      <c r="L50" s="124"/>
      <c r="M50" s="124"/>
      <c r="N50" s="124"/>
      <c r="O50" s="124"/>
      <c r="P50" s="84"/>
      <c r="Q50" s="56">
        <f t="shared" si="9"/>
        <v>2</v>
      </c>
      <c r="R50" s="56">
        <v>6</v>
      </c>
      <c r="S50" s="57">
        <f t="shared" si="1"/>
        <v>6</v>
      </c>
      <c r="T50" s="56"/>
      <c r="U50" s="58"/>
      <c r="V50" s="58"/>
      <c r="W50" s="59"/>
    </row>
    <row r="51" spans="1:23" ht="15" thickBot="1">
      <c r="A51" s="110" t="s">
        <v>114</v>
      </c>
      <c r="B51" s="103" t="s">
        <v>104</v>
      </c>
      <c r="C51" s="63"/>
      <c r="D51" s="63"/>
      <c r="E51" s="124"/>
      <c r="F51" s="124">
        <v>1</v>
      </c>
      <c r="G51" s="124"/>
      <c r="H51" s="124"/>
      <c r="I51" s="124"/>
      <c r="J51" s="124"/>
      <c r="K51" s="124"/>
      <c r="L51" s="124"/>
      <c r="M51" s="124"/>
      <c r="N51" s="124"/>
      <c r="O51" s="124"/>
      <c r="P51" s="84"/>
      <c r="Q51" s="56">
        <f t="shared" si="9"/>
        <v>1</v>
      </c>
      <c r="R51" s="56">
        <v>6</v>
      </c>
      <c r="S51" s="57">
        <f t="shared" si="1"/>
        <v>6</v>
      </c>
      <c r="T51" s="56"/>
      <c r="U51" s="58"/>
      <c r="V51" s="58"/>
      <c r="W51" s="59"/>
    </row>
    <row r="52" spans="1:23" ht="15" thickBot="1">
      <c r="A52" s="110" t="s">
        <v>114</v>
      </c>
      <c r="B52" s="103" t="s">
        <v>105</v>
      </c>
      <c r="C52" s="63"/>
      <c r="D52" s="63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84"/>
      <c r="Q52" s="56">
        <f t="shared" si="9"/>
        <v>0</v>
      </c>
      <c r="R52" s="56">
        <v>1</v>
      </c>
      <c r="S52" s="57">
        <f t="shared" si="1"/>
        <v>1</v>
      </c>
      <c r="T52" s="56"/>
      <c r="U52" s="58"/>
      <c r="V52" s="58"/>
      <c r="W52" s="59"/>
    </row>
    <row r="53" spans="1:23" ht="15" thickBot="1">
      <c r="A53" s="110" t="s">
        <v>114</v>
      </c>
      <c r="B53" s="103" t="s">
        <v>106</v>
      </c>
      <c r="C53" s="63"/>
      <c r="D53" s="63"/>
      <c r="E53" s="124">
        <v>1</v>
      </c>
      <c r="F53" s="124">
        <v>0</v>
      </c>
      <c r="G53" s="124"/>
      <c r="H53" s="124"/>
      <c r="I53" s="124"/>
      <c r="J53" s="124"/>
      <c r="K53" s="124"/>
      <c r="L53" s="124"/>
      <c r="M53" s="124"/>
      <c r="N53" s="124"/>
      <c r="O53" s="124"/>
      <c r="P53" s="84"/>
      <c r="Q53" s="56">
        <f t="shared" si="9"/>
        <v>1</v>
      </c>
      <c r="R53" s="56">
        <v>9</v>
      </c>
      <c r="S53" s="57">
        <f t="shared" si="1"/>
        <v>9</v>
      </c>
      <c r="T53" s="56"/>
      <c r="U53" s="58"/>
      <c r="V53" s="58"/>
      <c r="W53" s="59"/>
    </row>
    <row r="54" spans="1:23" ht="15" thickBot="1">
      <c r="A54" s="110" t="s">
        <v>114</v>
      </c>
      <c r="B54" s="103" t="s">
        <v>107</v>
      </c>
      <c r="C54" s="63"/>
      <c r="D54" s="63"/>
      <c r="E54" s="124">
        <v>0</v>
      </c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84"/>
      <c r="Q54" s="56">
        <f t="shared" si="9"/>
        <v>0</v>
      </c>
      <c r="R54" s="56">
        <v>3</v>
      </c>
      <c r="S54" s="57">
        <f t="shared" si="1"/>
        <v>3</v>
      </c>
      <c r="T54" s="56"/>
      <c r="U54" s="58"/>
      <c r="V54" s="58"/>
      <c r="W54" s="59"/>
    </row>
    <row r="55" spans="1:23" ht="15" thickBot="1">
      <c r="A55" s="110" t="s">
        <v>114</v>
      </c>
      <c r="B55" s="103" t="s">
        <v>108</v>
      </c>
      <c r="C55" s="63"/>
      <c r="D55" s="63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84"/>
      <c r="Q55" s="56">
        <f t="shared" si="9"/>
        <v>0</v>
      </c>
      <c r="R55" s="56">
        <v>1</v>
      </c>
      <c r="S55" s="57">
        <f t="shared" si="1"/>
        <v>1</v>
      </c>
      <c r="T55" s="56"/>
      <c r="U55" s="58"/>
      <c r="V55" s="58"/>
      <c r="W55" s="59"/>
    </row>
    <row r="56" spans="1:23" ht="15" thickBot="1">
      <c r="A56" s="110" t="s">
        <v>114</v>
      </c>
      <c r="B56" s="103" t="s">
        <v>109</v>
      </c>
      <c r="C56" s="63"/>
      <c r="D56" s="63"/>
      <c r="E56" s="124">
        <v>1</v>
      </c>
      <c r="F56" s="124">
        <v>0</v>
      </c>
      <c r="G56" s="124"/>
      <c r="H56" s="124"/>
      <c r="I56" s="124"/>
      <c r="J56" s="124"/>
      <c r="K56" s="124"/>
      <c r="L56" s="124"/>
      <c r="M56" s="124"/>
      <c r="N56" s="124"/>
      <c r="O56" s="124"/>
      <c r="P56" s="84"/>
      <c r="Q56" s="56">
        <f t="shared" si="9"/>
        <v>1</v>
      </c>
      <c r="R56" s="56">
        <v>6</v>
      </c>
      <c r="S56" s="57">
        <f t="shared" si="1"/>
        <v>6</v>
      </c>
      <c r="T56" s="56"/>
      <c r="U56" s="58"/>
      <c r="V56" s="58"/>
      <c r="W56" s="59"/>
    </row>
    <row r="57" spans="1:23" ht="15" thickBot="1">
      <c r="A57" s="110" t="s">
        <v>114</v>
      </c>
      <c r="B57" s="103" t="s">
        <v>110</v>
      </c>
      <c r="C57" s="63"/>
      <c r="D57" s="63"/>
      <c r="E57" s="124">
        <v>1</v>
      </c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84"/>
      <c r="Q57" s="56">
        <f t="shared" si="9"/>
        <v>1</v>
      </c>
      <c r="R57" s="56">
        <v>2</v>
      </c>
      <c r="S57" s="57">
        <f t="shared" si="1"/>
        <v>2</v>
      </c>
      <c r="T57" s="56"/>
      <c r="U57" s="58"/>
      <c r="V57" s="58"/>
      <c r="W57" s="59"/>
    </row>
    <row r="58" spans="1:23" ht="15" thickBot="1">
      <c r="A58" s="110" t="s">
        <v>114</v>
      </c>
      <c r="B58" s="103" t="s">
        <v>111</v>
      </c>
      <c r="C58" s="63"/>
      <c r="D58" s="63"/>
      <c r="E58" s="124">
        <v>3</v>
      </c>
      <c r="F58" s="124">
        <v>3</v>
      </c>
      <c r="G58" s="124"/>
      <c r="H58" s="124"/>
      <c r="I58" s="124"/>
      <c r="J58" s="124"/>
      <c r="K58" s="124"/>
      <c r="L58" s="124"/>
      <c r="M58" s="124"/>
      <c r="N58" s="124"/>
      <c r="O58" s="124"/>
      <c r="P58" s="84"/>
      <c r="Q58" s="56">
        <f t="shared" si="9"/>
        <v>6</v>
      </c>
      <c r="R58" s="56">
        <v>27</v>
      </c>
      <c r="S58" s="57">
        <f t="shared" si="1"/>
        <v>27</v>
      </c>
      <c r="T58" s="56"/>
      <c r="U58" s="58"/>
      <c r="V58" s="58"/>
      <c r="W58" s="59"/>
    </row>
    <row r="59" spans="1:23" ht="15" thickBot="1">
      <c r="A59" s="110" t="s">
        <v>114</v>
      </c>
      <c r="B59" s="103" t="s">
        <v>112</v>
      </c>
      <c r="C59" s="63"/>
      <c r="D59" s="63"/>
      <c r="E59" s="124">
        <v>0</v>
      </c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84"/>
      <c r="Q59" s="56">
        <f t="shared" si="9"/>
        <v>0</v>
      </c>
      <c r="R59" s="56">
        <v>3</v>
      </c>
      <c r="S59" s="57">
        <f t="shared" si="1"/>
        <v>3</v>
      </c>
      <c r="T59" s="56"/>
      <c r="U59" s="58"/>
      <c r="V59" s="58"/>
      <c r="W59" s="59"/>
    </row>
    <row r="60" spans="1:23" ht="15" thickBot="1">
      <c r="A60" s="110" t="s">
        <v>114</v>
      </c>
      <c r="B60" s="103" t="s">
        <v>113</v>
      </c>
      <c r="C60" s="63"/>
      <c r="D60" s="63"/>
      <c r="E60" s="124">
        <v>0</v>
      </c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84"/>
      <c r="Q60" s="56">
        <f t="shared" si="9"/>
        <v>0</v>
      </c>
      <c r="R60" s="56">
        <v>6</v>
      </c>
      <c r="S60" s="57">
        <f t="shared" si="1"/>
        <v>6</v>
      </c>
      <c r="T60" s="56"/>
      <c r="U60" s="58"/>
      <c r="V60" s="58"/>
      <c r="W60" s="59"/>
    </row>
    <row r="61" spans="1:23" s="65" customFormat="1" ht="15" thickBot="1">
      <c r="A61" s="196" t="s">
        <v>203</v>
      </c>
      <c r="B61" s="197"/>
      <c r="C61" s="45">
        <f>+D61/Metas!O29</f>
        <v>1.9552079630287946</v>
      </c>
      <c r="D61" s="19">
        <f>+Q61/S61</f>
        <v>0.1896551724137931</v>
      </c>
      <c r="E61" s="55">
        <f aca="true" t="shared" si="10" ref="E61:Q61">SUM(E48:E60)</f>
        <v>19</v>
      </c>
      <c r="F61" s="55">
        <f t="shared" si="10"/>
        <v>14</v>
      </c>
      <c r="G61" s="55">
        <f t="shared" si="10"/>
        <v>0</v>
      </c>
      <c r="H61" s="55">
        <f t="shared" si="10"/>
        <v>0</v>
      </c>
      <c r="I61" s="55">
        <f t="shared" si="10"/>
        <v>0</v>
      </c>
      <c r="J61" s="55">
        <f t="shared" si="10"/>
        <v>0</v>
      </c>
      <c r="K61" s="55">
        <f t="shared" si="10"/>
        <v>0</v>
      </c>
      <c r="L61" s="55">
        <f t="shared" si="10"/>
        <v>0</v>
      </c>
      <c r="M61" s="55">
        <f t="shared" si="10"/>
        <v>0</v>
      </c>
      <c r="N61" s="55">
        <f t="shared" si="10"/>
        <v>0</v>
      </c>
      <c r="O61" s="55">
        <f t="shared" si="10"/>
        <v>0</v>
      </c>
      <c r="P61" s="55">
        <f t="shared" si="10"/>
        <v>0</v>
      </c>
      <c r="Q61" s="89">
        <f t="shared" si="10"/>
        <v>33</v>
      </c>
      <c r="R61" s="55">
        <f aca="true" t="shared" si="11" ref="R61:W61">SUM(R48:R60)</f>
        <v>174</v>
      </c>
      <c r="S61" s="55">
        <f t="shared" si="11"/>
        <v>174</v>
      </c>
      <c r="T61" s="55">
        <f t="shared" si="11"/>
        <v>0</v>
      </c>
      <c r="U61" s="55">
        <f t="shared" si="11"/>
        <v>0</v>
      </c>
      <c r="V61" s="55">
        <f t="shared" si="11"/>
        <v>0</v>
      </c>
      <c r="W61" s="55">
        <f t="shared" si="11"/>
        <v>0</v>
      </c>
    </row>
    <row r="62" spans="1:23" ht="15" thickBot="1">
      <c r="A62" s="110" t="s">
        <v>125</v>
      </c>
      <c r="B62" s="103" t="s">
        <v>115</v>
      </c>
      <c r="C62" s="63"/>
      <c r="D62" s="63"/>
      <c r="E62" s="122">
        <v>3</v>
      </c>
      <c r="F62" s="122">
        <v>9</v>
      </c>
      <c r="G62" s="122"/>
      <c r="H62" s="122"/>
      <c r="I62" s="122"/>
      <c r="J62" s="122"/>
      <c r="K62" s="122"/>
      <c r="L62" s="122"/>
      <c r="M62" s="122"/>
      <c r="N62" s="122"/>
      <c r="O62" s="122"/>
      <c r="P62" s="84"/>
      <c r="Q62" s="56">
        <f aca="true" t="shared" si="12" ref="Q62:Q71">SUM(E62:P62)</f>
        <v>12</v>
      </c>
      <c r="R62" s="56">
        <v>51</v>
      </c>
      <c r="S62" s="57">
        <f t="shared" si="1"/>
        <v>51</v>
      </c>
      <c r="T62" s="56"/>
      <c r="U62" s="58"/>
      <c r="V62" s="58"/>
      <c r="W62" s="59"/>
    </row>
    <row r="63" spans="1:23" ht="15" thickBot="1">
      <c r="A63" s="110" t="s">
        <v>125</v>
      </c>
      <c r="B63" s="103" t="s">
        <v>116</v>
      </c>
      <c r="C63" s="63"/>
      <c r="D63" s="63"/>
      <c r="E63" s="122">
        <v>0</v>
      </c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84"/>
      <c r="Q63" s="56">
        <f t="shared" si="12"/>
        <v>0</v>
      </c>
      <c r="R63" s="56">
        <v>9</v>
      </c>
      <c r="S63" s="57">
        <f t="shared" si="1"/>
        <v>9</v>
      </c>
      <c r="T63" s="56"/>
      <c r="U63" s="58"/>
      <c r="V63" s="58"/>
      <c r="W63" s="59"/>
    </row>
    <row r="64" spans="1:23" ht="15" thickBot="1">
      <c r="A64" s="110" t="s">
        <v>125</v>
      </c>
      <c r="B64" s="103" t="s">
        <v>117</v>
      </c>
      <c r="C64" s="63"/>
      <c r="D64" s="63"/>
      <c r="E64" s="122"/>
      <c r="F64" s="122">
        <v>0</v>
      </c>
      <c r="G64" s="122"/>
      <c r="H64" s="122"/>
      <c r="I64" s="122"/>
      <c r="J64" s="122"/>
      <c r="K64" s="122"/>
      <c r="L64" s="122"/>
      <c r="M64" s="122"/>
      <c r="N64" s="122"/>
      <c r="O64" s="122"/>
      <c r="P64" s="84"/>
      <c r="Q64" s="56">
        <f t="shared" si="12"/>
        <v>0</v>
      </c>
      <c r="R64" s="56">
        <v>2</v>
      </c>
      <c r="S64" s="57">
        <f t="shared" si="1"/>
        <v>2</v>
      </c>
      <c r="T64" s="56"/>
      <c r="U64" s="58"/>
      <c r="V64" s="58"/>
      <c r="W64" s="59"/>
    </row>
    <row r="65" spans="1:23" ht="15" thickBot="1">
      <c r="A65" s="110" t="s">
        <v>125</v>
      </c>
      <c r="B65" s="103" t="s">
        <v>118</v>
      </c>
      <c r="C65" s="63"/>
      <c r="D65" s="63"/>
      <c r="E65" s="122"/>
      <c r="F65" s="122">
        <v>1</v>
      </c>
      <c r="G65" s="122"/>
      <c r="H65" s="122"/>
      <c r="I65" s="122"/>
      <c r="J65" s="122"/>
      <c r="K65" s="122"/>
      <c r="L65" s="122"/>
      <c r="M65" s="122"/>
      <c r="N65" s="122"/>
      <c r="O65" s="122"/>
      <c r="P65" s="84"/>
      <c r="Q65" s="56">
        <f t="shared" si="12"/>
        <v>1</v>
      </c>
      <c r="R65" s="56">
        <v>14</v>
      </c>
      <c r="S65" s="57">
        <f t="shared" si="1"/>
        <v>14</v>
      </c>
      <c r="T65" s="56"/>
      <c r="U65" s="58"/>
      <c r="V65" s="58"/>
      <c r="W65" s="59"/>
    </row>
    <row r="66" spans="1:23" ht="15" thickBot="1">
      <c r="A66" s="110" t="s">
        <v>125</v>
      </c>
      <c r="B66" s="103" t="s">
        <v>119</v>
      </c>
      <c r="C66" s="63"/>
      <c r="D66" s="63"/>
      <c r="E66" s="122">
        <v>1</v>
      </c>
      <c r="F66" s="122">
        <v>2</v>
      </c>
      <c r="G66" s="122"/>
      <c r="H66" s="122"/>
      <c r="I66" s="122"/>
      <c r="J66" s="122"/>
      <c r="K66" s="122"/>
      <c r="L66" s="122"/>
      <c r="M66" s="122"/>
      <c r="N66" s="122"/>
      <c r="O66" s="122"/>
      <c r="P66" s="84"/>
      <c r="Q66" s="56">
        <f t="shared" si="12"/>
        <v>3</v>
      </c>
      <c r="R66" s="56">
        <v>9</v>
      </c>
      <c r="S66" s="57">
        <f t="shared" si="1"/>
        <v>9</v>
      </c>
      <c r="T66" s="56"/>
      <c r="U66" s="58"/>
      <c r="V66" s="58"/>
      <c r="W66" s="59"/>
    </row>
    <row r="67" spans="1:23" ht="15" thickBot="1">
      <c r="A67" s="110" t="s">
        <v>125</v>
      </c>
      <c r="B67" s="103" t="s">
        <v>120</v>
      </c>
      <c r="C67" s="63"/>
      <c r="D67" s="63"/>
      <c r="E67" s="122"/>
      <c r="F67" s="122">
        <v>3</v>
      </c>
      <c r="G67" s="122"/>
      <c r="H67" s="122"/>
      <c r="I67" s="122"/>
      <c r="J67" s="122"/>
      <c r="K67" s="122"/>
      <c r="L67" s="122"/>
      <c r="M67" s="122"/>
      <c r="N67" s="122"/>
      <c r="O67" s="122"/>
      <c r="P67" s="84"/>
      <c r="Q67" s="56">
        <f t="shared" si="12"/>
        <v>3</v>
      </c>
      <c r="R67" s="56">
        <v>12</v>
      </c>
      <c r="S67" s="57">
        <f t="shared" si="1"/>
        <v>12</v>
      </c>
      <c r="T67" s="56"/>
      <c r="U67" s="58"/>
      <c r="V67" s="58"/>
      <c r="W67" s="59"/>
    </row>
    <row r="68" spans="1:23" ht="15" thickBot="1">
      <c r="A68" s="110" t="s">
        <v>125</v>
      </c>
      <c r="B68" s="103" t="s">
        <v>121</v>
      </c>
      <c r="C68" s="63"/>
      <c r="D68" s="63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84"/>
      <c r="Q68" s="56">
        <f t="shared" si="12"/>
        <v>0</v>
      </c>
      <c r="R68" s="56">
        <v>0</v>
      </c>
      <c r="S68" s="57">
        <f t="shared" si="1"/>
        <v>0</v>
      </c>
      <c r="T68" s="56"/>
      <c r="U68" s="58"/>
      <c r="V68" s="58"/>
      <c r="W68" s="59"/>
    </row>
    <row r="69" spans="1:23" ht="15" thickBot="1">
      <c r="A69" s="110" t="s">
        <v>125</v>
      </c>
      <c r="B69" s="103" t="s">
        <v>122</v>
      </c>
      <c r="C69" s="63"/>
      <c r="D69" s="63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84"/>
      <c r="Q69" s="56">
        <f t="shared" si="12"/>
        <v>0</v>
      </c>
      <c r="R69" s="56">
        <v>1</v>
      </c>
      <c r="S69" s="57">
        <f t="shared" si="1"/>
        <v>1</v>
      </c>
      <c r="T69" s="56"/>
      <c r="U69" s="58"/>
      <c r="V69" s="58"/>
      <c r="W69" s="59"/>
    </row>
    <row r="70" spans="1:23" ht="15" thickBot="1">
      <c r="A70" s="110" t="s">
        <v>125</v>
      </c>
      <c r="B70" s="103" t="s">
        <v>123</v>
      </c>
      <c r="C70" s="63"/>
      <c r="D70" s="63"/>
      <c r="E70" s="84"/>
      <c r="F70" s="84">
        <v>1</v>
      </c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56">
        <f t="shared" si="12"/>
        <v>1</v>
      </c>
      <c r="R70" s="56">
        <v>1</v>
      </c>
      <c r="S70" s="57">
        <f t="shared" si="1"/>
        <v>1</v>
      </c>
      <c r="T70" s="56"/>
      <c r="U70" s="58"/>
      <c r="V70" s="58"/>
      <c r="W70" s="59"/>
    </row>
    <row r="71" spans="1:23" ht="15" thickBot="1">
      <c r="A71" s="110" t="s">
        <v>125</v>
      </c>
      <c r="B71" s="103" t="s">
        <v>124</v>
      </c>
      <c r="C71" s="63"/>
      <c r="D71" s="63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56">
        <f t="shared" si="12"/>
        <v>0</v>
      </c>
      <c r="R71" s="56">
        <v>0</v>
      </c>
      <c r="S71" s="57">
        <f t="shared" si="1"/>
        <v>0</v>
      </c>
      <c r="T71" s="56"/>
      <c r="U71" s="58"/>
      <c r="V71" s="58"/>
      <c r="W71" s="59"/>
    </row>
    <row r="72" spans="1:23" s="65" customFormat="1" ht="15" thickBot="1">
      <c r="A72" s="196" t="s">
        <v>23</v>
      </c>
      <c r="B72" s="197"/>
      <c r="C72" s="45">
        <f>+D72/Metas!O26</f>
        <v>2.149151085321298</v>
      </c>
      <c r="D72" s="19">
        <f>+Q72/S72</f>
        <v>0.20202020202020202</v>
      </c>
      <c r="E72" s="55">
        <f>SUM(E62:E71)</f>
        <v>4</v>
      </c>
      <c r="F72" s="55">
        <f aca="true" t="shared" si="13" ref="F72:P72">SUM(F62:F71)</f>
        <v>16</v>
      </c>
      <c r="G72" s="55">
        <f t="shared" si="13"/>
        <v>0</v>
      </c>
      <c r="H72" s="55">
        <f t="shared" si="13"/>
        <v>0</v>
      </c>
      <c r="I72" s="55">
        <f t="shared" si="13"/>
        <v>0</v>
      </c>
      <c r="J72" s="55">
        <f t="shared" si="13"/>
        <v>0</v>
      </c>
      <c r="K72" s="55">
        <f t="shared" si="13"/>
        <v>0</v>
      </c>
      <c r="L72" s="55">
        <f t="shared" si="13"/>
        <v>0</v>
      </c>
      <c r="M72" s="55">
        <f t="shared" si="13"/>
        <v>0</v>
      </c>
      <c r="N72" s="55">
        <f t="shared" si="13"/>
        <v>0</v>
      </c>
      <c r="O72" s="55">
        <f t="shared" si="13"/>
        <v>0</v>
      </c>
      <c r="P72" s="55">
        <f t="shared" si="13"/>
        <v>0</v>
      </c>
      <c r="Q72" s="89">
        <f aca="true" t="shared" si="14" ref="Q72:W72">SUM(Q62:Q71)</f>
        <v>20</v>
      </c>
      <c r="R72" s="55">
        <f t="shared" si="14"/>
        <v>99</v>
      </c>
      <c r="S72" s="55">
        <f t="shared" si="14"/>
        <v>99</v>
      </c>
      <c r="T72" s="55">
        <f t="shared" si="14"/>
        <v>0</v>
      </c>
      <c r="U72" s="55">
        <f t="shared" si="14"/>
        <v>0</v>
      </c>
      <c r="V72" s="55">
        <f t="shared" si="14"/>
        <v>0</v>
      </c>
      <c r="W72" s="55">
        <f t="shared" si="14"/>
        <v>0</v>
      </c>
    </row>
    <row r="73" spans="1:23" ht="15" thickBot="1">
      <c r="A73" s="110" t="s">
        <v>131</v>
      </c>
      <c r="B73" s="103" t="s">
        <v>126</v>
      </c>
      <c r="C73" s="63"/>
      <c r="D73" s="63"/>
      <c r="E73" s="122">
        <v>3</v>
      </c>
      <c r="F73" s="122">
        <v>0</v>
      </c>
      <c r="G73" s="122"/>
      <c r="H73" s="122"/>
      <c r="I73" s="122"/>
      <c r="J73" s="122"/>
      <c r="K73" s="122"/>
      <c r="L73" s="122"/>
      <c r="M73" s="122"/>
      <c r="N73" s="122"/>
      <c r="O73" s="122"/>
      <c r="P73" s="84"/>
      <c r="Q73" s="56">
        <f>SUM(E73:P73)</f>
        <v>3</v>
      </c>
      <c r="R73" s="56">
        <v>30</v>
      </c>
      <c r="S73" s="57">
        <f t="shared" si="1"/>
        <v>30</v>
      </c>
      <c r="T73" s="56"/>
      <c r="U73" s="58"/>
      <c r="V73" s="58"/>
      <c r="W73" s="59"/>
    </row>
    <row r="74" spans="1:23" ht="15" thickBot="1">
      <c r="A74" s="110" t="s">
        <v>131</v>
      </c>
      <c r="B74" s="103" t="s">
        <v>127</v>
      </c>
      <c r="C74" s="63"/>
      <c r="D74" s="63"/>
      <c r="E74" s="122">
        <v>0</v>
      </c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84"/>
      <c r="Q74" s="56">
        <f>SUM(E74:P74)</f>
        <v>0</v>
      </c>
      <c r="R74" s="56">
        <v>2</v>
      </c>
      <c r="S74" s="57">
        <f t="shared" si="1"/>
        <v>2</v>
      </c>
      <c r="T74" s="56"/>
      <c r="U74" s="58"/>
      <c r="V74" s="58"/>
      <c r="W74" s="59"/>
    </row>
    <row r="75" spans="1:23" ht="15" thickBot="1">
      <c r="A75" s="110" t="s">
        <v>131</v>
      </c>
      <c r="B75" s="103" t="s">
        <v>128</v>
      </c>
      <c r="C75" s="63"/>
      <c r="D75" s="63"/>
      <c r="E75" s="122">
        <v>1</v>
      </c>
      <c r="F75" s="122">
        <v>2</v>
      </c>
      <c r="G75" s="122"/>
      <c r="H75" s="122"/>
      <c r="I75" s="122"/>
      <c r="J75" s="122"/>
      <c r="K75" s="122"/>
      <c r="L75" s="122"/>
      <c r="M75" s="122"/>
      <c r="N75" s="122"/>
      <c r="O75" s="122"/>
      <c r="P75" s="84"/>
      <c r="Q75" s="56">
        <f>SUM(E75:P75)</f>
        <v>3</v>
      </c>
      <c r="R75" s="56">
        <v>11</v>
      </c>
      <c r="S75" s="57">
        <f t="shared" si="1"/>
        <v>11</v>
      </c>
      <c r="T75" s="56"/>
      <c r="U75" s="58"/>
      <c r="V75" s="58"/>
      <c r="W75" s="59"/>
    </row>
    <row r="76" spans="1:23" ht="15" thickBot="1">
      <c r="A76" s="110" t="s">
        <v>131</v>
      </c>
      <c r="B76" s="103" t="s">
        <v>129</v>
      </c>
      <c r="C76" s="63"/>
      <c r="D76" s="63"/>
      <c r="E76" s="122">
        <v>3</v>
      </c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84"/>
      <c r="Q76" s="56">
        <f>SUM(E76:P76)</f>
        <v>3</v>
      </c>
      <c r="R76" s="56">
        <v>11</v>
      </c>
      <c r="S76" s="57">
        <f>+R76</f>
        <v>11</v>
      </c>
      <c r="T76" s="56"/>
      <c r="U76" s="58"/>
      <c r="V76" s="58"/>
      <c r="W76" s="59"/>
    </row>
    <row r="77" spans="1:23" ht="15" thickBot="1">
      <c r="A77" s="110" t="s">
        <v>131</v>
      </c>
      <c r="B77" s="103" t="s">
        <v>130</v>
      </c>
      <c r="C77" s="63"/>
      <c r="D77" s="63"/>
      <c r="E77" s="122">
        <v>0</v>
      </c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84"/>
      <c r="Q77" s="56">
        <f>SUM(E77:P77)</f>
        <v>0</v>
      </c>
      <c r="R77" s="56">
        <v>4</v>
      </c>
      <c r="S77" s="57">
        <f>+R77</f>
        <v>4</v>
      </c>
      <c r="T77" s="56"/>
      <c r="U77" s="58"/>
      <c r="V77" s="58"/>
      <c r="W77" s="59"/>
    </row>
    <row r="78" spans="1:23" s="65" customFormat="1" ht="15" thickBot="1">
      <c r="A78" s="196" t="s">
        <v>204</v>
      </c>
      <c r="B78" s="197"/>
      <c r="C78" s="45">
        <f>+D78/Metas!O31</f>
        <v>1.5997156061144686</v>
      </c>
      <c r="D78" s="19">
        <f>+Q78/S78</f>
        <v>0.15517241379310345</v>
      </c>
      <c r="E78" s="55">
        <f>SUM(E73:E77)</f>
        <v>7</v>
      </c>
      <c r="F78" s="55">
        <f aca="true" t="shared" si="15" ref="F78:P78">SUM(F73:F77)</f>
        <v>2</v>
      </c>
      <c r="G78" s="55">
        <f t="shared" si="15"/>
        <v>0</v>
      </c>
      <c r="H78" s="55">
        <f t="shared" si="15"/>
        <v>0</v>
      </c>
      <c r="I78" s="55">
        <f t="shared" si="15"/>
        <v>0</v>
      </c>
      <c r="J78" s="55">
        <f t="shared" si="15"/>
        <v>0</v>
      </c>
      <c r="K78" s="55">
        <f t="shared" si="15"/>
        <v>0</v>
      </c>
      <c r="L78" s="55">
        <f t="shared" si="15"/>
        <v>0</v>
      </c>
      <c r="M78" s="55">
        <f t="shared" si="15"/>
        <v>0</v>
      </c>
      <c r="N78" s="55">
        <f t="shared" si="15"/>
        <v>0</v>
      </c>
      <c r="O78" s="55">
        <f t="shared" si="15"/>
        <v>0</v>
      </c>
      <c r="P78" s="55">
        <f t="shared" si="15"/>
        <v>0</v>
      </c>
      <c r="Q78" s="89">
        <f aca="true" t="shared" si="16" ref="Q78:W78">SUM(Q73:Q77)</f>
        <v>9</v>
      </c>
      <c r="R78" s="55">
        <f t="shared" si="16"/>
        <v>58</v>
      </c>
      <c r="S78" s="55">
        <f t="shared" si="16"/>
        <v>58</v>
      </c>
      <c r="T78" s="55">
        <f t="shared" si="16"/>
        <v>0</v>
      </c>
      <c r="U78" s="55">
        <f t="shared" si="16"/>
        <v>0</v>
      </c>
      <c r="V78" s="55">
        <f t="shared" si="16"/>
        <v>0</v>
      </c>
      <c r="W78" s="55">
        <f t="shared" si="16"/>
        <v>0</v>
      </c>
    </row>
    <row r="79" spans="1:23" ht="15" thickBot="1">
      <c r="A79" s="110" t="s">
        <v>142</v>
      </c>
      <c r="B79" s="103" t="s">
        <v>132</v>
      </c>
      <c r="C79" s="63"/>
      <c r="D79" s="63"/>
      <c r="E79" s="122">
        <v>10</v>
      </c>
      <c r="F79" s="122">
        <v>1</v>
      </c>
      <c r="G79" s="122"/>
      <c r="H79" s="122"/>
      <c r="I79" s="122"/>
      <c r="J79" s="122"/>
      <c r="K79" s="122"/>
      <c r="L79" s="122"/>
      <c r="M79" s="122"/>
      <c r="N79" s="122"/>
      <c r="O79" s="122"/>
      <c r="P79" s="84"/>
      <c r="Q79" s="56">
        <f aca="true" t="shared" si="17" ref="Q79:Q88">SUM(E79:P79)</f>
        <v>11</v>
      </c>
      <c r="R79" s="56">
        <v>59</v>
      </c>
      <c r="S79" s="57">
        <f aca="true" t="shared" si="18" ref="S79:S88">+R79</f>
        <v>59</v>
      </c>
      <c r="T79" s="56"/>
      <c r="U79" s="58"/>
      <c r="V79" s="58"/>
      <c r="W79" s="59"/>
    </row>
    <row r="80" spans="1:23" ht="15" thickBot="1">
      <c r="A80" s="110" t="s">
        <v>142</v>
      </c>
      <c r="B80" s="103" t="s">
        <v>133</v>
      </c>
      <c r="C80" s="63"/>
      <c r="D80" s="63"/>
      <c r="E80" s="122">
        <v>0</v>
      </c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84"/>
      <c r="Q80" s="56">
        <f t="shared" si="17"/>
        <v>0</v>
      </c>
      <c r="R80" s="56">
        <v>11</v>
      </c>
      <c r="S80" s="57">
        <f t="shared" si="18"/>
        <v>11</v>
      </c>
      <c r="T80" s="56"/>
      <c r="U80" s="58"/>
      <c r="V80" s="58"/>
      <c r="W80" s="59"/>
    </row>
    <row r="81" spans="1:23" ht="15" thickBot="1">
      <c r="A81" s="110" t="s">
        <v>142</v>
      </c>
      <c r="B81" s="103" t="s">
        <v>134</v>
      </c>
      <c r="C81" s="63"/>
      <c r="D81" s="63"/>
      <c r="E81" s="122">
        <v>0</v>
      </c>
      <c r="F81" s="122">
        <v>0</v>
      </c>
      <c r="G81" s="122"/>
      <c r="H81" s="122"/>
      <c r="I81" s="122"/>
      <c r="J81" s="122"/>
      <c r="K81" s="122"/>
      <c r="L81" s="122"/>
      <c r="M81" s="122"/>
      <c r="N81" s="122"/>
      <c r="O81" s="122"/>
      <c r="P81" s="84"/>
      <c r="Q81" s="56">
        <f t="shared" si="17"/>
        <v>0</v>
      </c>
      <c r="R81" s="56">
        <v>1</v>
      </c>
      <c r="S81" s="57">
        <f t="shared" si="18"/>
        <v>1</v>
      </c>
      <c r="T81" s="56"/>
      <c r="U81" s="58"/>
      <c r="V81" s="58"/>
      <c r="W81" s="59"/>
    </row>
    <row r="82" spans="1:23" ht="15" thickBot="1">
      <c r="A82" s="110" t="s">
        <v>142</v>
      </c>
      <c r="B82" s="103" t="s">
        <v>135</v>
      </c>
      <c r="C82" s="63"/>
      <c r="D82" s="63"/>
      <c r="E82" s="122">
        <v>5</v>
      </c>
      <c r="F82" s="122">
        <v>2</v>
      </c>
      <c r="G82" s="122"/>
      <c r="H82" s="122"/>
      <c r="I82" s="122"/>
      <c r="J82" s="122"/>
      <c r="K82" s="122"/>
      <c r="L82" s="122"/>
      <c r="M82" s="122"/>
      <c r="N82" s="122"/>
      <c r="O82" s="122"/>
      <c r="P82" s="84"/>
      <c r="Q82" s="56">
        <f t="shared" si="17"/>
        <v>7</v>
      </c>
      <c r="R82" s="56">
        <v>19</v>
      </c>
      <c r="S82" s="57">
        <f t="shared" si="18"/>
        <v>19</v>
      </c>
      <c r="T82" s="56"/>
      <c r="U82" s="58"/>
      <c r="V82" s="58"/>
      <c r="W82" s="59"/>
    </row>
    <row r="83" spans="1:23" ht="15" thickBot="1">
      <c r="A83" s="110" t="s">
        <v>142</v>
      </c>
      <c r="B83" s="103" t="s">
        <v>136</v>
      </c>
      <c r="C83" s="63"/>
      <c r="D83" s="63"/>
      <c r="E83" s="122">
        <v>0</v>
      </c>
      <c r="F83" s="122">
        <v>1</v>
      </c>
      <c r="G83" s="122"/>
      <c r="H83" s="122"/>
      <c r="I83" s="122"/>
      <c r="J83" s="122"/>
      <c r="K83" s="122"/>
      <c r="L83" s="122"/>
      <c r="M83" s="122"/>
      <c r="N83" s="122"/>
      <c r="O83" s="122"/>
      <c r="P83" s="84"/>
      <c r="Q83" s="56">
        <f t="shared" si="17"/>
        <v>1</v>
      </c>
      <c r="R83" s="56">
        <v>8</v>
      </c>
      <c r="S83" s="57">
        <f t="shared" si="18"/>
        <v>8</v>
      </c>
      <c r="T83" s="56"/>
      <c r="U83" s="58"/>
      <c r="V83" s="58"/>
      <c r="W83" s="59"/>
    </row>
    <row r="84" spans="1:23" ht="15" thickBot="1">
      <c r="A84" s="110" t="s">
        <v>142</v>
      </c>
      <c r="B84" s="103" t="s">
        <v>137</v>
      </c>
      <c r="C84" s="63"/>
      <c r="D84" s="63"/>
      <c r="E84" s="122">
        <v>0</v>
      </c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84"/>
      <c r="Q84" s="56">
        <f t="shared" si="17"/>
        <v>0</v>
      </c>
      <c r="R84" s="56">
        <v>6</v>
      </c>
      <c r="S84" s="57">
        <f t="shared" si="18"/>
        <v>6</v>
      </c>
      <c r="T84" s="56"/>
      <c r="U84" s="58"/>
      <c r="V84" s="58"/>
      <c r="W84" s="59"/>
    </row>
    <row r="85" spans="1:23" ht="15" thickBot="1">
      <c r="A85" s="110" t="s">
        <v>142</v>
      </c>
      <c r="B85" s="103" t="s">
        <v>138</v>
      </c>
      <c r="C85" s="63"/>
      <c r="D85" s="63"/>
      <c r="E85" s="122">
        <v>1</v>
      </c>
      <c r="F85" s="122">
        <v>1</v>
      </c>
      <c r="G85" s="122"/>
      <c r="H85" s="122"/>
      <c r="I85" s="122"/>
      <c r="J85" s="122"/>
      <c r="K85" s="122"/>
      <c r="L85" s="122"/>
      <c r="M85" s="122"/>
      <c r="N85" s="122"/>
      <c r="O85" s="122"/>
      <c r="P85" s="84"/>
      <c r="Q85" s="56">
        <f t="shared" si="17"/>
        <v>2</v>
      </c>
      <c r="R85" s="56">
        <v>13</v>
      </c>
      <c r="S85" s="57">
        <f t="shared" si="18"/>
        <v>13</v>
      </c>
      <c r="T85" s="56"/>
      <c r="U85" s="58"/>
      <c r="V85" s="58"/>
      <c r="W85" s="59"/>
    </row>
    <row r="86" spans="1:23" ht="15" thickBot="1">
      <c r="A86" s="110" t="s">
        <v>142</v>
      </c>
      <c r="B86" s="103" t="s">
        <v>139</v>
      </c>
      <c r="C86" s="63"/>
      <c r="D86" s="63"/>
      <c r="E86" s="122">
        <v>2</v>
      </c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84"/>
      <c r="Q86" s="56">
        <f t="shared" si="17"/>
        <v>2</v>
      </c>
      <c r="R86" s="56">
        <v>9</v>
      </c>
      <c r="S86" s="57">
        <f t="shared" si="18"/>
        <v>9</v>
      </c>
      <c r="T86" s="56"/>
      <c r="U86" s="58"/>
      <c r="V86" s="58"/>
      <c r="W86" s="59"/>
    </row>
    <row r="87" spans="1:23" ht="15" thickBot="1">
      <c r="A87" s="110" t="s">
        <v>142</v>
      </c>
      <c r="B87" s="103" t="s">
        <v>140</v>
      </c>
      <c r="C87" s="63"/>
      <c r="D87" s="63"/>
      <c r="E87" s="122">
        <v>1</v>
      </c>
      <c r="F87" s="122">
        <v>1</v>
      </c>
      <c r="G87" s="122"/>
      <c r="H87" s="122"/>
      <c r="I87" s="122"/>
      <c r="J87" s="122"/>
      <c r="K87" s="122"/>
      <c r="L87" s="122"/>
      <c r="M87" s="122"/>
      <c r="N87" s="122"/>
      <c r="O87" s="122"/>
      <c r="P87" s="84"/>
      <c r="Q87" s="56">
        <f t="shared" si="17"/>
        <v>2</v>
      </c>
      <c r="R87" s="56">
        <v>8</v>
      </c>
      <c r="S87" s="57">
        <f t="shared" si="18"/>
        <v>8</v>
      </c>
      <c r="T87" s="56"/>
      <c r="U87" s="58"/>
      <c r="V87" s="58"/>
      <c r="W87" s="59"/>
    </row>
    <row r="88" spans="1:23" ht="15" thickBot="1">
      <c r="A88" s="110" t="s">
        <v>142</v>
      </c>
      <c r="B88" s="103" t="s">
        <v>141</v>
      </c>
      <c r="C88" s="63"/>
      <c r="D88" s="63"/>
      <c r="E88" s="122">
        <v>1</v>
      </c>
      <c r="F88" s="122">
        <v>2</v>
      </c>
      <c r="G88" s="122"/>
      <c r="H88" s="122"/>
      <c r="I88" s="122"/>
      <c r="J88" s="122"/>
      <c r="K88" s="122"/>
      <c r="L88" s="122"/>
      <c r="M88" s="122"/>
      <c r="N88" s="122"/>
      <c r="O88" s="122"/>
      <c r="P88" s="84"/>
      <c r="Q88" s="56">
        <f t="shared" si="17"/>
        <v>3</v>
      </c>
      <c r="R88" s="56">
        <v>10</v>
      </c>
      <c r="S88" s="57">
        <f t="shared" si="18"/>
        <v>10</v>
      </c>
      <c r="T88" s="56"/>
      <c r="U88" s="58"/>
      <c r="V88" s="58"/>
      <c r="W88" s="59"/>
    </row>
    <row r="89" spans="1:23" s="65" customFormat="1" ht="15" thickBot="1">
      <c r="A89" s="196" t="s">
        <v>205</v>
      </c>
      <c r="B89" s="197"/>
      <c r="C89" s="45">
        <f>+D89/Metas!O36</f>
        <v>2.004581901489118</v>
      </c>
      <c r="D89" s="19">
        <f>+Q89/S89</f>
        <v>0.19444444444444445</v>
      </c>
      <c r="E89" s="55">
        <f>SUM(E79:E88)</f>
        <v>20</v>
      </c>
      <c r="F89" s="55">
        <f aca="true" t="shared" si="19" ref="F89:P89">SUM(F79:F88)</f>
        <v>8</v>
      </c>
      <c r="G89" s="55">
        <f t="shared" si="19"/>
        <v>0</v>
      </c>
      <c r="H89" s="55">
        <f t="shared" si="19"/>
        <v>0</v>
      </c>
      <c r="I89" s="55">
        <f t="shared" si="19"/>
        <v>0</v>
      </c>
      <c r="J89" s="55">
        <f t="shared" si="19"/>
        <v>0</v>
      </c>
      <c r="K89" s="55">
        <f t="shared" si="19"/>
        <v>0</v>
      </c>
      <c r="L89" s="55">
        <f t="shared" si="19"/>
        <v>0</v>
      </c>
      <c r="M89" s="55">
        <f t="shared" si="19"/>
        <v>0</v>
      </c>
      <c r="N89" s="55">
        <f t="shared" si="19"/>
        <v>0</v>
      </c>
      <c r="O89" s="55">
        <f t="shared" si="19"/>
        <v>0</v>
      </c>
      <c r="P89" s="55">
        <f t="shared" si="19"/>
        <v>0</v>
      </c>
      <c r="Q89" s="89">
        <f aca="true" t="shared" si="20" ref="Q89:W89">SUM(Q79:Q88)</f>
        <v>28</v>
      </c>
      <c r="R89" s="55">
        <f t="shared" si="20"/>
        <v>144</v>
      </c>
      <c r="S89" s="55">
        <f t="shared" si="20"/>
        <v>144</v>
      </c>
      <c r="T89" s="55">
        <f t="shared" si="20"/>
        <v>0</v>
      </c>
      <c r="U89" s="55">
        <f t="shared" si="20"/>
        <v>0</v>
      </c>
      <c r="V89" s="55">
        <f t="shared" si="20"/>
        <v>0</v>
      </c>
      <c r="W89" s="55">
        <f t="shared" si="20"/>
        <v>0</v>
      </c>
    </row>
    <row r="90" spans="1:23" ht="15" thickBot="1">
      <c r="A90" s="110" t="s">
        <v>159</v>
      </c>
      <c r="B90" s="103" t="s">
        <v>143</v>
      </c>
      <c r="C90" s="63"/>
      <c r="D90" s="63"/>
      <c r="E90" s="122">
        <v>7</v>
      </c>
      <c r="F90" s="122">
        <v>8</v>
      </c>
      <c r="G90" s="122"/>
      <c r="H90" s="122"/>
      <c r="I90" s="122"/>
      <c r="J90" s="122"/>
      <c r="K90" s="122"/>
      <c r="L90" s="122"/>
      <c r="M90" s="122"/>
      <c r="N90" s="122"/>
      <c r="O90" s="122"/>
      <c r="P90" s="84"/>
      <c r="Q90" s="56">
        <f aca="true" t="shared" si="21" ref="Q90:Q105">SUM(E90:P90)</f>
        <v>15</v>
      </c>
      <c r="R90" s="56">
        <v>83</v>
      </c>
      <c r="S90" s="57">
        <f aca="true" t="shared" si="22" ref="S90:S105">+R90</f>
        <v>83</v>
      </c>
      <c r="T90" s="56"/>
      <c r="U90" s="58"/>
      <c r="V90" s="58"/>
      <c r="W90" s="59"/>
    </row>
    <row r="91" spans="1:23" ht="15" thickBot="1">
      <c r="A91" s="110" t="s">
        <v>159</v>
      </c>
      <c r="B91" s="103" t="s">
        <v>144</v>
      </c>
      <c r="C91" s="63"/>
      <c r="D91" s="63"/>
      <c r="E91" s="122">
        <v>16</v>
      </c>
      <c r="F91" s="122">
        <v>31</v>
      </c>
      <c r="G91" s="122"/>
      <c r="H91" s="122"/>
      <c r="I91" s="122"/>
      <c r="J91" s="122"/>
      <c r="K91" s="122"/>
      <c r="L91" s="122"/>
      <c r="M91" s="122"/>
      <c r="N91" s="122"/>
      <c r="O91" s="122"/>
      <c r="P91" s="84"/>
      <c r="Q91" s="56">
        <f t="shared" si="21"/>
        <v>47</v>
      </c>
      <c r="R91" s="56">
        <v>313</v>
      </c>
      <c r="S91" s="57">
        <f t="shared" si="22"/>
        <v>313</v>
      </c>
      <c r="T91" s="56"/>
      <c r="U91" s="58"/>
      <c r="V91" s="58"/>
      <c r="W91" s="59"/>
    </row>
    <row r="92" spans="1:23" ht="15" thickBot="1">
      <c r="A92" s="110" t="s">
        <v>159</v>
      </c>
      <c r="B92" s="103" t="s">
        <v>145</v>
      </c>
      <c r="C92" s="63"/>
      <c r="D92" s="63"/>
      <c r="E92" s="122">
        <v>30</v>
      </c>
      <c r="F92" s="122">
        <v>45</v>
      </c>
      <c r="G92" s="122"/>
      <c r="H92" s="122"/>
      <c r="I92" s="122"/>
      <c r="J92" s="122"/>
      <c r="K92" s="122"/>
      <c r="L92" s="122"/>
      <c r="M92" s="122"/>
      <c r="N92" s="122"/>
      <c r="O92" s="122"/>
      <c r="P92" s="84"/>
      <c r="Q92" s="56">
        <f t="shared" si="21"/>
        <v>75</v>
      </c>
      <c r="R92" s="56">
        <v>606</v>
      </c>
      <c r="S92" s="57">
        <f t="shared" si="22"/>
        <v>606</v>
      </c>
      <c r="T92" s="56"/>
      <c r="U92" s="58"/>
      <c r="V92" s="58"/>
      <c r="W92" s="59"/>
    </row>
    <row r="93" spans="1:23" ht="15" thickBot="1">
      <c r="A93" s="110" t="s">
        <v>159</v>
      </c>
      <c r="B93" s="103" t="s">
        <v>146</v>
      </c>
      <c r="C93" s="63"/>
      <c r="D93" s="63"/>
      <c r="E93" s="122">
        <v>5</v>
      </c>
      <c r="F93" s="122">
        <v>2</v>
      </c>
      <c r="G93" s="122"/>
      <c r="H93" s="122"/>
      <c r="I93" s="122"/>
      <c r="J93" s="122"/>
      <c r="K93" s="122"/>
      <c r="L93" s="122"/>
      <c r="M93" s="122"/>
      <c r="N93" s="122"/>
      <c r="O93" s="122"/>
      <c r="P93" s="84"/>
      <c r="Q93" s="56">
        <f t="shared" si="21"/>
        <v>7</v>
      </c>
      <c r="R93" s="56">
        <v>79</v>
      </c>
      <c r="S93" s="57">
        <f t="shared" si="22"/>
        <v>79</v>
      </c>
      <c r="T93" s="56"/>
      <c r="U93" s="58"/>
      <c r="V93" s="58"/>
      <c r="W93" s="59"/>
    </row>
    <row r="94" spans="1:23" ht="15" thickBot="1">
      <c r="A94" s="110" t="s">
        <v>159</v>
      </c>
      <c r="B94" s="103" t="s">
        <v>147</v>
      </c>
      <c r="C94" s="63"/>
      <c r="D94" s="63"/>
      <c r="E94" s="122">
        <v>0</v>
      </c>
      <c r="F94" s="122">
        <v>2</v>
      </c>
      <c r="G94" s="122"/>
      <c r="H94" s="122"/>
      <c r="I94" s="122"/>
      <c r="J94" s="122"/>
      <c r="K94" s="122"/>
      <c r="L94" s="122"/>
      <c r="M94" s="122"/>
      <c r="N94" s="122"/>
      <c r="O94" s="122"/>
      <c r="P94" s="84"/>
      <c r="Q94" s="56">
        <f t="shared" si="21"/>
        <v>2</v>
      </c>
      <c r="R94" s="56">
        <v>15</v>
      </c>
      <c r="S94" s="57">
        <f t="shared" si="22"/>
        <v>15</v>
      </c>
      <c r="T94" s="56"/>
      <c r="U94" s="58"/>
      <c r="V94" s="58"/>
      <c r="W94" s="59"/>
    </row>
    <row r="95" spans="1:23" ht="15" thickBot="1">
      <c r="A95" s="110" t="s">
        <v>159</v>
      </c>
      <c r="B95" s="103" t="s">
        <v>148</v>
      </c>
      <c r="C95" s="63"/>
      <c r="D95" s="63"/>
      <c r="E95" s="122">
        <v>0</v>
      </c>
      <c r="F95" s="122">
        <v>2</v>
      </c>
      <c r="G95" s="122"/>
      <c r="H95" s="122"/>
      <c r="I95" s="122"/>
      <c r="J95" s="122"/>
      <c r="K95" s="122"/>
      <c r="L95" s="122"/>
      <c r="M95" s="122"/>
      <c r="N95" s="122"/>
      <c r="O95" s="122"/>
      <c r="P95" s="84"/>
      <c r="Q95" s="56">
        <f t="shared" si="21"/>
        <v>2</v>
      </c>
      <c r="R95" s="56">
        <v>17</v>
      </c>
      <c r="S95" s="57">
        <f t="shared" si="22"/>
        <v>17</v>
      </c>
      <c r="T95" s="56"/>
      <c r="U95" s="58"/>
      <c r="V95" s="58"/>
      <c r="W95" s="59"/>
    </row>
    <row r="96" spans="1:23" ht="15" thickBot="1">
      <c r="A96" s="110" t="s">
        <v>159</v>
      </c>
      <c r="B96" s="103" t="s">
        <v>149</v>
      </c>
      <c r="C96" s="63"/>
      <c r="D96" s="63"/>
      <c r="E96" s="122"/>
      <c r="F96" s="122">
        <v>1</v>
      </c>
      <c r="G96" s="122"/>
      <c r="H96" s="122"/>
      <c r="I96" s="122"/>
      <c r="J96" s="122"/>
      <c r="K96" s="122"/>
      <c r="L96" s="122"/>
      <c r="M96" s="122"/>
      <c r="N96" s="122"/>
      <c r="O96" s="122"/>
      <c r="P96" s="84"/>
      <c r="Q96" s="56">
        <f t="shared" si="21"/>
        <v>1</v>
      </c>
      <c r="R96" s="56">
        <v>12</v>
      </c>
      <c r="S96" s="57">
        <f t="shared" si="22"/>
        <v>12</v>
      </c>
      <c r="T96" s="56"/>
      <c r="U96" s="58"/>
      <c r="V96" s="58"/>
      <c r="W96" s="59"/>
    </row>
    <row r="97" spans="1:23" ht="15" thickBot="1">
      <c r="A97" s="110" t="s">
        <v>159</v>
      </c>
      <c r="B97" s="103" t="s">
        <v>150</v>
      </c>
      <c r="C97" s="63"/>
      <c r="D97" s="63"/>
      <c r="E97" s="122">
        <v>0</v>
      </c>
      <c r="F97" s="122">
        <v>2</v>
      </c>
      <c r="G97" s="122"/>
      <c r="H97" s="122"/>
      <c r="I97" s="122"/>
      <c r="J97" s="122"/>
      <c r="K97" s="122"/>
      <c r="L97" s="122"/>
      <c r="M97" s="122"/>
      <c r="N97" s="122"/>
      <c r="O97" s="122"/>
      <c r="P97" s="84"/>
      <c r="Q97" s="56">
        <f t="shared" si="21"/>
        <v>2</v>
      </c>
      <c r="R97" s="56">
        <v>8</v>
      </c>
      <c r="S97" s="57">
        <f t="shared" si="22"/>
        <v>8</v>
      </c>
      <c r="T97" s="56"/>
      <c r="U97" s="58"/>
      <c r="V97" s="58"/>
      <c r="W97" s="59"/>
    </row>
    <row r="98" spans="1:23" ht="15" thickBot="1">
      <c r="A98" s="110" t="s">
        <v>159</v>
      </c>
      <c r="B98" s="103" t="s">
        <v>151</v>
      </c>
      <c r="C98" s="63"/>
      <c r="D98" s="63"/>
      <c r="E98" s="122">
        <v>1</v>
      </c>
      <c r="F98" s="122">
        <v>2</v>
      </c>
      <c r="G98" s="122"/>
      <c r="H98" s="122"/>
      <c r="I98" s="122"/>
      <c r="J98" s="122"/>
      <c r="K98" s="122"/>
      <c r="L98" s="122"/>
      <c r="M98" s="122"/>
      <c r="N98" s="122"/>
      <c r="O98" s="122"/>
      <c r="P98" s="84"/>
      <c r="Q98" s="56">
        <f t="shared" si="21"/>
        <v>3</v>
      </c>
      <c r="R98" s="56">
        <v>19</v>
      </c>
      <c r="S98" s="57">
        <f t="shared" si="22"/>
        <v>19</v>
      </c>
      <c r="T98" s="56"/>
      <c r="U98" s="58"/>
      <c r="V98" s="58"/>
      <c r="W98" s="59"/>
    </row>
    <row r="99" spans="1:23" ht="15" thickBot="1">
      <c r="A99" s="110" t="s">
        <v>159</v>
      </c>
      <c r="B99" s="103" t="s">
        <v>152</v>
      </c>
      <c r="C99" s="63"/>
      <c r="D99" s="63"/>
      <c r="E99" s="122"/>
      <c r="F99" s="122">
        <v>1</v>
      </c>
      <c r="G99" s="122"/>
      <c r="H99" s="122"/>
      <c r="I99" s="122"/>
      <c r="J99" s="122"/>
      <c r="K99" s="122"/>
      <c r="L99" s="122"/>
      <c r="M99" s="122"/>
      <c r="N99" s="122"/>
      <c r="O99" s="122"/>
      <c r="P99" s="84"/>
      <c r="Q99" s="56">
        <f t="shared" si="21"/>
        <v>1</v>
      </c>
      <c r="R99" s="56">
        <v>3</v>
      </c>
      <c r="S99" s="57">
        <f t="shared" si="22"/>
        <v>3</v>
      </c>
      <c r="T99" s="56"/>
      <c r="U99" s="58"/>
      <c r="V99" s="58"/>
      <c r="W99" s="59"/>
    </row>
    <row r="100" spans="1:23" ht="15" thickBot="1">
      <c r="A100" s="110" t="s">
        <v>159</v>
      </c>
      <c r="B100" s="103" t="s">
        <v>153</v>
      </c>
      <c r="C100" s="63"/>
      <c r="D100" s="63"/>
      <c r="E100" s="122"/>
      <c r="F100" s="122">
        <v>1</v>
      </c>
      <c r="G100" s="122"/>
      <c r="H100" s="122"/>
      <c r="I100" s="122"/>
      <c r="J100" s="122"/>
      <c r="K100" s="122"/>
      <c r="L100" s="122"/>
      <c r="M100" s="122"/>
      <c r="N100" s="122"/>
      <c r="O100" s="122"/>
      <c r="P100" s="84"/>
      <c r="Q100" s="56">
        <f t="shared" si="21"/>
        <v>1</v>
      </c>
      <c r="R100" s="56">
        <v>7</v>
      </c>
      <c r="S100" s="57">
        <f t="shared" si="22"/>
        <v>7</v>
      </c>
      <c r="T100" s="56"/>
      <c r="U100" s="58"/>
      <c r="V100" s="58"/>
      <c r="W100" s="59"/>
    </row>
    <row r="101" spans="1:23" ht="15" thickBot="1">
      <c r="A101" s="110" t="s">
        <v>159</v>
      </c>
      <c r="B101" s="103" t="s">
        <v>154</v>
      </c>
      <c r="C101" s="63"/>
      <c r="D101" s="63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84"/>
      <c r="Q101" s="56">
        <f t="shared" si="21"/>
        <v>0</v>
      </c>
      <c r="R101" s="56">
        <v>3</v>
      </c>
      <c r="S101" s="57">
        <f t="shared" si="22"/>
        <v>3</v>
      </c>
      <c r="T101" s="56"/>
      <c r="U101" s="58"/>
      <c r="V101" s="58"/>
      <c r="W101" s="59"/>
    </row>
    <row r="102" spans="1:23" ht="15" thickBot="1">
      <c r="A102" s="110" t="s">
        <v>159</v>
      </c>
      <c r="B102" s="103" t="s">
        <v>155</v>
      </c>
      <c r="C102" s="63"/>
      <c r="D102" s="63"/>
      <c r="E102" s="122">
        <v>3</v>
      </c>
      <c r="F102" s="122">
        <v>2</v>
      </c>
      <c r="G102" s="122"/>
      <c r="H102" s="122"/>
      <c r="I102" s="122"/>
      <c r="J102" s="122"/>
      <c r="K102" s="122"/>
      <c r="L102" s="122"/>
      <c r="M102" s="122"/>
      <c r="N102" s="122"/>
      <c r="O102" s="122"/>
      <c r="P102" s="84"/>
      <c r="Q102" s="56">
        <f t="shared" si="21"/>
        <v>5</v>
      </c>
      <c r="R102" s="56">
        <v>28</v>
      </c>
      <c r="S102" s="57">
        <f t="shared" si="22"/>
        <v>28</v>
      </c>
      <c r="T102" s="56"/>
      <c r="U102" s="58"/>
      <c r="V102" s="58"/>
      <c r="W102" s="59"/>
    </row>
    <row r="103" spans="1:23" ht="15" thickBot="1">
      <c r="A103" s="110" t="s">
        <v>159</v>
      </c>
      <c r="B103" s="103" t="s">
        <v>156</v>
      </c>
      <c r="C103" s="63"/>
      <c r="D103" s="63"/>
      <c r="E103" s="122"/>
      <c r="F103" s="122">
        <v>1</v>
      </c>
      <c r="G103" s="122"/>
      <c r="H103" s="122"/>
      <c r="I103" s="122"/>
      <c r="J103" s="122"/>
      <c r="K103" s="122"/>
      <c r="L103" s="122"/>
      <c r="M103" s="122"/>
      <c r="N103" s="122"/>
      <c r="O103" s="122"/>
      <c r="P103" s="84"/>
      <c r="Q103" s="56">
        <f t="shared" si="21"/>
        <v>1</v>
      </c>
      <c r="R103" s="56">
        <v>19</v>
      </c>
      <c r="S103" s="57">
        <f t="shared" si="22"/>
        <v>19</v>
      </c>
      <c r="T103" s="56"/>
      <c r="U103" s="58"/>
      <c r="V103" s="58"/>
      <c r="W103" s="59"/>
    </row>
    <row r="104" spans="1:23" ht="15" thickBot="1">
      <c r="A104" s="110" t="s">
        <v>159</v>
      </c>
      <c r="B104" s="103" t="s">
        <v>157</v>
      </c>
      <c r="C104" s="63"/>
      <c r="D104" s="63"/>
      <c r="E104" s="122">
        <v>5</v>
      </c>
      <c r="F104" s="122">
        <v>4</v>
      </c>
      <c r="G104" s="122"/>
      <c r="H104" s="122"/>
      <c r="I104" s="122"/>
      <c r="J104" s="122"/>
      <c r="K104" s="122"/>
      <c r="L104" s="122"/>
      <c r="M104" s="122"/>
      <c r="N104" s="122"/>
      <c r="O104" s="122"/>
      <c r="P104" s="84"/>
      <c r="Q104" s="56">
        <f t="shared" si="21"/>
        <v>9</v>
      </c>
      <c r="R104" s="56">
        <v>82</v>
      </c>
      <c r="S104" s="57">
        <f t="shared" si="22"/>
        <v>82</v>
      </c>
      <c r="T104" s="56"/>
      <c r="U104" s="58"/>
      <c r="V104" s="58"/>
      <c r="W104" s="59"/>
    </row>
    <row r="105" spans="1:23" ht="15" thickBot="1">
      <c r="A105" s="110" t="s">
        <v>159</v>
      </c>
      <c r="B105" s="103" t="s">
        <v>158</v>
      </c>
      <c r="C105" s="63"/>
      <c r="D105" s="63"/>
      <c r="E105" s="122">
        <v>2</v>
      </c>
      <c r="F105" s="122">
        <v>4</v>
      </c>
      <c r="G105" s="122"/>
      <c r="H105" s="122"/>
      <c r="I105" s="122"/>
      <c r="J105" s="122"/>
      <c r="K105" s="122"/>
      <c r="L105" s="122"/>
      <c r="M105" s="122"/>
      <c r="N105" s="122"/>
      <c r="O105" s="122"/>
      <c r="P105" s="84"/>
      <c r="Q105" s="56">
        <f t="shared" si="21"/>
        <v>6</v>
      </c>
      <c r="R105" s="56">
        <v>65</v>
      </c>
      <c r="S105" s="57">
        <f t="shared" si="22"/>
        <v>65</v>
      </c>
      <c r="T105" s="56"/>
      <c r="U105" s="58"/>
      <c r="V105" s="58"/>
      <c r="W105" s="59"/>
    </row>
    <row r="106" spans="1:23" s="65" customFormat="1" ht="27" customHeight="1" thickBot="1">
      <c r="A106" s="196" t="s">
        <v>206</v>
      </c>
      <c r="B106" s="197"/>
      <c r="C106" s="45">
        <f>+D106/Metas!O33</f>
        <v>1.3427095423408661</v>
      </c>
      <c r="D106" s="19">
        <f>+Q106/S106</f>
        <v>0.13024282560706402</v>
      </c>
      <c r="E106" s="55">
        <f>SUM(E90:E105)</f>
        <v>69</v>
      </c>
      <c r="F106" s="55">
        <f aca="true" t="shared" si="23" ref="F106:P106">SUM(F90:F105)</f>
        <v>108</v>
      </c>
      <c r="G106" s="55">
        <f t="shared" si="23"/>
        <v>0</v>
      </c>
      <c r="H106" s="55">
        <f t="shared" si="23"/>
        <v>0</v>
      </c>
      <c r="I106" s="55">
        <f t="shared" si="23"/>
        <v>0</v>
      </c>
      <c r="J106" s="55">
        <f t="shared" si="23"/>
        <v>0</v>
      </c>
      <c r="K106" s="55">
        <f t="shared" si="23"/>
        <v>0</v>
      </c>
      <c r="L106" s="55">
        <f t="shared" si="23"/>
        <v>0</v>
      </c>
      <c r="M106" s="55">
        <f t="shared" si="23"/>
        <v>0</v>
      </c>
      <c r="N106" s="55">
        <f t="shared" si="23"/>
        <v>0</v>
      </c>
      <c r="O106" s="55">
        <f t="shared" si="23"/>
        <v>0</v>
      </c>
      <c r="P106" s="55">
        <f t="shared" si="23"/>
        <v>0</v>
      </c>
      <c r="Q106" s="89">
        <f aca="true" t="shared" si="24" ref="Q106:W106">SUM(Q90:Q105)</f>
        <v>177</v>
      </c>
      <c r="R106" s="55">
        <f t="shared" si="24"/>
        <v>1359</v>
      </c>
      <c r="S106" s="55">
        <f t="shared" si="24"/>
        <v>1359</v>
      </c>
      <c r="T106" s="55">
        <f t="shared" si="24"/>
        <v>0</v>
      </c>
      <c r="U106" s="55">
        <f t="shared" si="24"/>
        <v>0</v>
      </c>
      <c r="V106" s="55">
        <f t="shared" si="24"/>
        <v>0</v>
      </c>
      <c r="W106" s="55">
        <f t="shared" si="24"/>
        <v>0</v>
      </c>
    </row>
    <row r="107" spans="1:23" ht="15" thickBot="1">
      <c r="A107" s="110" t="s">
        <v>172</v>
      </c>
      <c r="B107" s="103" t="s">
        <v>160</v>
      </c>
      <c r="C107" s="63"/>
      <c r="D107" s="63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56">
        <f aca="true" t="shared" si="25" ref="Q107:Q118">SUM(E107:P107)</f>
        <v>0</v>
      </c>
      <c r="R107" s="56">
        <v>0</v>
      </c>
      <c r="S107" s="57">
        <f aca="true" t="shared" si="26" ref="S107:S118">+R107</f>
        <v>0</v>
      </c>
      <c r="T107" s="56"/>
      <c r="U107" s="58"/>
      <c r="V107" s="58"/>
      <c r="W107" s="59"/>
    </row>
    <row r="108" spans="1:23" ht="15" thickBot="1">
      <c r="A108" s="110" t="s">
        <v>172</v>
      </c>
      <c r="B108" s="103" t="s">
        <v>161</v>
      </c>
      <c r="C108" s="63"/>
      <c r="D108" s="63"/>
      <c r="E108" s="122">
        <v>0</v>
      </c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84"/>
      <c r="Q108" s="56">
        <f t="shared" si="25"/>
        <v>0</v>
      </c>
      <c r="R108" s="56">
        <v>2</v>
      </c>
      <c r="S108" s="57">
        <f t="shared" si="26"/>
        <v>2</v>
      </c>
      <c r="T108" s="56"/>
      <c r="U108" s="58"/>
      <c r="V108" s="58"/>
      <c r="W108" s="59"/>
    </row>
    <row r="109" spans="1:23" ht="15" thickBot="1">
      <c r="A109" s="110" t="s">
        <v>172</v>
      </c>
      <c r="B109" s="103" t="s">
        <v>162</v>
      </c>
      <c r="C109" s="63"/>
      <c r="D109" s="63"/>
      <c r="E109" s="122">
        <v>0</v>
      </c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84"/>
      <c r="Q109" s="56">
        <f t="shared" si="25"/>
        <v>0</v>
      </c>
      <c r="R109" s="56">
        <v>2</v>
      </c>
      <c r="S109" s="57">
        <f t="shared" si="26"/>
        <v>2</v>
      </c>
      <c r="T109" s="56"/>
      <c r="U109" s="58"/>
      <c r="V109" s="58"/>
      <c r="W109" s="59"/>
    </row>
    <row r="110" spans="1:23" ht="15" thickBot="1">
      <c r="A110" s="110" t="s">
        <v>172</v>
      </c>
      <c r="B110" s="103" t="s">
        <v>163</v>
      </c>
      <c r="C110" s="63"/>
      <c r="D110" s="63"/>
      <c r="E110" s="122">
        <v>0</v>
      </c>
      <c r="F110" s="122">
        <v>0</v>
      </c>
      <c r="G110" s="122"/>
      <c r="H110" s="122"/>
      <c r="I110" s="122"/>
      <c r="J110" s="122"/>
      <c r="K110" s="122"/>
      <c r="L110" s="122"/>
      <c r="M110" s="122"/>
      <c r="N110" s="122"/>
      <c r="O110" s="122"/>
      <c r="P110" s="84"/>
      <c r="Q110" s="56">
        <f t="shared" si="25"/>
        <v>0</v>
      </c>
      <c r="R110" s="56">
        <v>2</v>
      </c>
      <c r="S110" s="57">
        <f t="shared" si="26"/>
        <v>2</v>
      </c>
      <c r="T110" s="56"/>
      <c r="U110" s="58"/>
      <c r="V110" s="58"/>
      <c r="W110" s="59"/>
    </row>
    <row r="111" spans="1:23" ht="15" thickBot="1">
      <c r="A111" s="110" t="s">
        <v>172</v>
      </c>
      <c r="B111" s="103" t="s">
        <v>164</v>
      </c>
      <c r="C111" s="63"/>
      <c r="D111" s="63"/>
      <c r="E111" s="122">
        <v>2</v>
      </c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84"/>
      <c r="Q111" s="56">
        <f t="shared" si="25"/>
        <v>2</v>
      </c>
      <c r="R111" s="56">
        <v>14</v>
      </c>
      <c r="S111" s="57">
        <f t="shared" si="26"/>
        <v>14</v>
      </c>
      <c r="T111" s="56"/>
      <c r="U111" s="58"/>
      <c r="V111" s="58"/>
      <c r="W111" s="59"/>
    </row>
    <row r="112" spans="1:23" ht="15" thickBot="1">
      <c r="A112" s="110" t="s">
        <v>172</v>
      </c>
      <c r="B112" s="103" t="s">
        <v>165</v>
      </c>
      <c r="C112" s="63"/>
      <c r="D112" s="63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84"/>
      <c r="Q112" s="56">
        <f t="shared" si="25"/>
        <v>0</v>
      </c>
      <c r="R112" s="56">
        <v>2</v>
      </c>
      <c r="S112" s="57">
        <f t="shared" si="26"/>
        <v>2</v>
      </c>
      <c r="T112" s="56"/>
      <c r="U112" s="58"/>
      <c r="V112" s="58"/>
      <c r="W112" s="59"/>
    </row>
    <row r="113" spans="1:23" ht="15" thickBot="1">
      <c r="A113" s="110" t="s">
        <v>172</v>
      </c>
      <c r="B113" s="103" t="s">
        <v>166</v>
      </c>
      <c r="C113" s="63"/>
      <c r="D113" s="63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84"/>
      <c r="Q113" s="56">
        <f t="shared" si="25"/>
        <v>0</v>
      </c>
      <c r="R113" s="56">
        <v>5</v>
      </c>
      <c r="S113" s="57">
        <f t="shared" si="26"/>
        <v>5</v>
      </c>
      <c r="T113" s="56"/>
      <c r="U113" s="58"/>
      <c r="V113" s="58"/>
      <c r="W113" s="59"/>
    </row>
    <row r="114" spans="1:23" ht="15" thickBot="1">
      <c r="A114" s="110" t="s">
        <v>172</v>
      </c>
      <c r="B114" s="103" t="s">
        <v>167</v>
      </c>
      <c r="C114" s="63"/>
      <c r="D114" s="63"/>
      <c r="E114" s="122">
        <v>0</v>
      </c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84"/>
      <c r="Q114" s="56">
        <f t="shared" si="25"/>
        <v>0</v>
      </c>
      <c r="R114" s="56">
        <v>5</v>
      </c>
      <c r="S114" s="57">
        <f t="shared" si="26"/>
        <v>5</v>
      </c>
      <c r="T114" s="56"/>
      <c r="U114" s="58"/>
      <c r="V114" s="58"/>
      <c r="W114" s="59"/>
    </row>
    <row r="115" spans="1:23" ht="15" thickBot="1">
      <c r="A115" s="110" t="s">
        <v>172</v>
      </c>
      <c r="B115" s="103" t="s">
        <v>168</v>
      </c>
      <c r="C115" s="63"/>
      <c r="D115" s="63"/>
      <c r="E115" s="122">
        <v>3</v>
      </c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84"/>
      <c r="Q115" s="56">
        <f t="shared" si="25"/>
        <v>3</v>
      </c>
      <c r="R115" s="56">
        <v>11</v>
      </c>
      <c r="S115" s="57">
        <f t="shared" si="26"/>
        <v>11</v>
      </c>
      <c r="T115" s="56"/>
      <c r="U115" s="58"/>
      <c r="V115" s="58"/>
      <c r="W115" s="59"/>
    </row>
    <row r="116" spans="1:23" ht="15" thickBot="1">
      <c r="A116" s="110" t="s">
        <v>172</v>
      </c>
      <c r="B116" s="103" t="s">
        <v>169</v>
      </c>
      <c r="C116" s="63"/>
      <c r="D116" s="63"/>
      <c r="E116" s="122">
        <v>0</v>
      </c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84"/>
      <c r="Q116" s="56">
        <f t="shared" si="25"/>
        <v>0</v>
      </c>
      <c r="R116" s="56">
        <v>0</v>
      </c>
      <c r="S116" s="57">
        <f t="shared" si="26"/>
        <v>0</v>
      </c>
      <c r="T116" s="56"/>
      <c r="U116" s="58"/>
      <c r="V116" s="58"/>
      <c r="W116" s="59"/>
    </row>
    <row r="117" spans="1:23" ht="15" thickBot="1">
      <c r="A117" s="110" t="s">
        <v>172</v>
      </c>
      <c r="B117" s="103" t="s">
        <v>170</v>
      </c>
      <c r="C117" s="63"/>
      <c r="D117" s="63"/>
      <c r="E117" s="122">
        <v>0</v>
      </c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84"/>
      <c r="Q117" s="56">
        <f t="shared" si="25"/>
        <v>0</v>
      </c>
      <c r="R117" s="56">
        <v>1</v>
      </c>
      <c r="S117" s="57">
        <f t="shared" si="26"/>
        <v>1</v>
      </c>
      <c r="T117" s="56"/>
      <c r="U117" s="58"/>
      <c r="V117" s="58"/>
      <c r="W117" s="59"/>
    </row>
    <row r="118" spans="1:23" ht="15" thickBot="1">
      <c r="A118" s="110" t="s">
        <v>172</v>
      </c>
      <c r="B118" s="103" t="s">
        <v>171</v>
      </c>
      <c r="C118" s="63"/>
      <c r="D118" s="63"/>
      <c r="E118" s="122">
        <v>0</v>
      </c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84"/>
      <c r="Q118" s="56">
        <f t="shared" si="25"/>
        <v>0</v>
      </c>
      <c r="R118" s="56">
        <v>1</v>
      </c>
      <c r="S118" s="57">
        <f t="shared" si="26"/>
        <v>1</v>
      </c>
      <c r="T118" s="56"/>
      <c r="U118" s="58"/>
      <c r="V118" s="58"/>
      <c r="W118" s="59"/>
    </row>
    <row r="119" spans="1:23" s="65" customFormat="1" ht="15" thickBot="1">
      <c r="A119" s="196" t="s">
        <v>207</v>
      </c>
      <c r="B119" s="197"/>
      <c r="C119" s="45">
        <f>+D119/Metas!O27</f>
        <v>1.145475372279496</v>
      </c>
      <c r="D119" s="19">
        <f>+Q119/S119</f>
        <v>0.1111111111111111</v>
      </c>
      <c r="E119" s="55">
        <f>SUM(E107:E118)</f>
        <v>5</v>
      </c>
      <c r="F119" s="55">
        <f aca="true" t="shared" si="27" ref="F119:P119">SUM(F107:F118)</f>
        <v>0</v>
      </c>
      <c r="G119" s="55">
        <f t="shared" si="27"/>
        <v>0</v>
      </c>
      <c r="H119" s="55">
        <f t="shared" si="27"/>
        <v>0</v>
      </c>
      <c r="I119" s="55">
        <f t="shared" si="27"/>
        <v>0</v>
      </c>
      <c r="J119" s="55">
        <f t="shared" si="27"/>
        <v>0</v>
      </c>
      <c r="K119" s="55">
        <f t="shared" si="27"/>
        <v>0</v>
      </c>
      <c r="L119" s="55">
        <f t="shared" si="27"/>
        <v>0</v>
      </c>
      <c r="M119" s="55">
        <f t="shared" si="27"/>
        <v>0</v>
      </c>
      <c r="N119" s="55">
        <f t="shared" si="27"/>
        <v>0</v>
      </c>
      <c r="O119" s="55">
        <f t="shared" si="27"/>
        <v>0</v>
      </c>
      <c r="P119" s="55">
        <f t="shared" si="27"/>
        <v>0</v>
      </c>
      <c r="Q119" s="89">
        <f aca="true" t="shared" si="28" ref="Q119:W119">SUM(Q107:Q118)</f>
        <v>5</v>
      </c>
      <c r="R119" s="55">
        <f t="shared" si="28"/>
        <v>45</v>
      </c>
      <c r="S119" s="55">
        <f t="shared" si="28"/>
        <v>45</v>
      </c>
      <c r="T119" s="55">
        <f t="shared" si="28"/>
        <v>0</v>
      </c>
      <c r="U119" s="55">
        <f t="shared" si="28"/>
        <v>0</v>
      </c>
      <c r="V119" s="55">
        <f t="shared" si="28"/>
        <v>0</v>
      </c>
      <c r="W119" s="55">
        <f t="shared" si="28"/>
        <v>0</v>
      </c>
    </row>
    <row r="120" spans="1:23" ht="15" thickBot="1">
      <c r="A120" s="110" t="s">
        <v>186</v>
      </c>
      <c r="B120" s="103" t="s">
        <v>173</v>
      </c>
      <c r="C120" s="63"/>
      <c r="D120" s="63"/>
      <c r="E120" s="122">
        <v>18</v>
      </c>
      <c r="F120" s="122">
        <v>25</v>
      </c>
      <c r="G120" s="122"/>
      <c r="H120" s="122"/>
      <c r="I120" s="122"/>
      <c r="J120" s="122"/>
      <c r="K120" s="122"/>
      <c r="L120" s="122"/>
      <c r="M120" s="122"/>
      <c r="N120" s="122"/>
      <c r="O120" s="122"/>
      <c r="P120" s="84"/>
      <c r="Q120" s="56">
        <f aca="true" t="shared" si="29" ref="Q120:Q132">SUM(E120:P120)</f>
        <v>43</v>
      </c>
      <c r="R120" s="56">
        <v>180</v>
      </c>
      <c r="S120" s="57">
        <f aca="true" t="shared" si="30" ref="S120:S132">+R120</f>
        <v>180</v>
      </c>
      <c r="T120" s="56"/>
      <c r="U120" s="58"/>
      <c r="V120" s="58"/>
      <c r="W120" s="59"/>
    </row>
    <row r="121" spans="1:23" ht="15" thickBot="1">
      <c r="A121" s="110" t="s">
        <v>186</v>
      </c>
      <c r="B121" s="103" t="s">
        <v>174</v>
      </c>
      <c r="C121" s="63"/>
      <c r="D121" s="63"/>
      <c r="E121" s="122">
        <v>5</v>
      </c>
      <c r="F121" s="122">
        <v>2</v>
      </c>
      <c r="G121" s="122"/>
      <c r="H121" s="122"/>
      <c r="I121" s="122"/>
      <c r="J121" s="122"/>
      <c r="K121" s="122"/>
      <c r="L121" s="122"/>
      <c r="M121" s="122"/>
      <c r="N121" s="122"/>
      <c r="O121" s="122"/>
      <c r="P121" s="84"/>
      <c r="Q121" s="56">
        <f t="shared" si="29"/>
        <v>7</v>
      </c>
      <c r="R121" s="56">
        <v>67</v>
      </c>
      <c r="S121" s="57">
        <f t="shared" si="30"/>
        <v>67</v>
      </c>
      <c r="T121" s="56"/>
      <c r="U121" s="58"/>
      <c r="V121" s="58"/>
      <c r="W121" s="59"/>
    </row>
    <row r="122" spans="1:23" ht="15" thickBot="1">
      <c r="A122" s="110" t="s">
        <v>186</v>
      </c>
      <c r="B122" s="103" t="s">
        <v>175</v>
      </c>
      <c r="C122" s="63"/>
      <c r="D122" s="63"/>
      <c r="E122" s="122">
        <v>2</v>
      </c>
      <c r="F122" s="122">
        <v>5</v>
      </c>
      <c r="G122" s="122"/>
      <c r="H122" s="122"/>
      <c r="I122" s="122"/>
      <c r="J122" s="122"/>
      <c r="K122" s="122"/>
      <c r="L122" s="122"/>
      <c r="M122" s="122"/>
      <c r="N122" s="122"/>
      <c r="O122" s="122"/>
      <c r="P122" s="84"/>
      <c r="Q122" s="56">
        <f t="shared" si="29"/>
        <v>7</v>
      </c>
      <c r="R122" s="56">
        <v>36</v>
      </c>
      <c r="S122" s="57">
        <f t="shared" si="30"/>
        <v>36</v>
      </c>
      <c r="T122" s="56"/>
      <c r="U122" s="58"/>
      <c r="V122" s="58"/>
      <c r="W122" s="59"/>
    </row>
    <row r="123" spans="1:23" ht="15" thickBot="1">
      <c r="A123" s="110" t="s">
        <v>186</v>
      </c>
      <c r="B123" s="103" t="s">
        <v>176</v>
      </c>
      <c r="C123" s="63"/>
      <c r="D123" s="63"/>
      <c r="E123" s="122">
        <v>9</v>
      </c>
      <c r="F123" s="122">
        <v>13</v>
      </c>
      <c r="G123" s="122"/>
      <c r="H123" s="122"/>
      <c r="I123" s="122"/>
      <c r="J123" s="122"/>
      <c r="K123" s="122"/>
      <c r="L123" s="122"/>
      <c r="M123" s="122"/>
      <c r="N123" s="122"/>
      <c r="O123" s="122"/>
      <c r="P123" s="84"/>
      <c r="Q123" s="56">
        <f t="shared" si="29"/>
        <v>22</v>
      </c>
      <c r="R123" s="56">
        <v>145</v>
      </c>
      <c r="S123" s="57">
        <f t="shared" si="30"/>
        <v>145</v>
      </c>
      <c r="T123" s="56"/>
      <c r="U123" s="58"/>
      <c r="V123" s="58"/>
      <c r="W123" s="59"/>
    </row>
    <row r="124" spans="1:23" ht="15" thickBot="1">
      <c r="A124" s="110" t="s">
        <v>186</v>
      </c>
      <c r="B124" s="103" t="s">
        <v>177</v>
      </c>
      <c r="C124" s="63"/>
      <c r="D124" s="63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84"/>
      <c r="Q124" s="56">
        <f t="shared" si="29"/>
        <v>0</v>
      </c>
      <c r="R124" s="56">
        <v>2</v>
      </c>
      <c r="S124" s="57">
        <f t="shared" si="30"/>
        <v>2</v>
      </c>
      <c r="T124" s="56"/>
      <c r="U124" s="58"/>
      <c r="V124" s="58"/>
      <c r="W124" s="59"/>
    </row>
    <row r="125" spans="1:23" ht="15" thickBot="1">
      <c r="A125" s="110" t="s">
        <v>186</v>
      </c>
      <c r="B125" s="103" t="s">
        <v>178</v>
      </c>
      <c r="C125" s="63"/>
      <c r="D125" s="63"/>
      <c r="E125" s="122">
        <v>0</v>
      </c>
      <c r="F125" s="122">
        <v>0</v>
      </c>
      <c r="G125" s="122"/>
      <c r="H125" s="122"/>
      <c r="I125" s="122"/>
      <c r="J125" s="122"/>
      <c r="K125" s="122"/>
      <c r="L125" s="122"/>
      <c r="M125" s="122"/>
      <c r="N125" s="122"/>
      <c r="O125" s="122"/>
      <c r="P125" s="84"/>
      <c r="Q125" s="56">
        <f t="shared" si="29"/>
        <v>0</v>
      </c>
      <c r="R125" s="56">
        <v>4</v>
      </c>
      <c r="S125" s="57">
        <f t="shared" si="30"/>
        <v>4</v>
      </c>
      <c r="T125" s="56"/>
      <c r="U125" s="58"/>
      <c r="V125" s="58"/>
      <c r="W125" s="59"/>
    </row>
    <row r="126" spans="1:23" ht="15" thickBot="1">
      <c r="A126" s="110" t="s">
        <v>186</v>
      </c>
      <c r="B126" s="103" t="s">
        <v>179</v>
      </c>
      <c r="C126" s="63"/>
      <c r="D126" s="63"/>
      <c r="E126" s="122">
        <v>2</v>
      </c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84"/>
      <c r="Q126" s="56">
        <f t="shared" si="29"/>
        <v>2</v>
      </c>
      <c r="R126" s="56">
        <v>10</v>
      </c>
      <c r="S126" s="57">
        <f t="shared" si="30"/>
        <v>10</v>
      </c>
      <c r="T126" s="56"/>
      <c r="U126" s="58"/>
      <c r="V126" s="58"/>
      <c r="W126" s="59"/>
    </row>
    <row r="127" spans="1:23" ht="15" thickBot="1">
      <c r="A127" s="110" t="s">
        <v>186</v>
      </c>
      <c r="B127" s="103" t="s">
        <v>180</v>
      </c>
      <c r="C127" s="63"/>
      <c r="D127" s="63"/>
      <c r="E127" s="122">
        <v>2</v>
      </c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84"/>
      <c r="Q127" s="56">
        <f t="shared" si="29"/>
        <v>2</v>
      </c>
      <c r="R127" s="56">
        <v>4</v>
      </c>
      <c r="S127" s="57">
        <f t="shared" si="30"/>
        <v>4</v>
      </c>
      <c r="T127" s="56"/>
      <c r="U127" s="58"/>
      <c r="V127" s="58"/>
      <c r="W127" s="59"/>
    </row>
    <row r="128" spans="1:23" ht="15" thickBot="1">
      <c r="A128" s="110" t="s">
        <v>186</v>
      </c>
      <c r="B128" s="103" t="s">
        <v>181</v>
      </c>
      <c r="C128" s="63"/>
      <c r="D128" s="63"/>
      <c r="E128" s="122">
        <v>1</v>
      </c>
      <c r="F128" s="122">
        <v>0</v>
      </c>
      <c r="G128" s="122"/>
      <c r="H128" s="122"/>
      <c r="I128" s="122"/>
      <c r="J128" s="122"/>
      <c r="K128" s="122"/>
      <c r="L128" s="122"/>
      <c r="M128" s="122"/>
      <c r="N128" s="122"/>
      <c r="O128" s="122"/>
      <c r="P128" s="84"/>
      <c r="Q128" s="56">
        <f t="shared" si="29"/>
        <v>1</v>
      </c>
      <c r="R128" s="56">
        <v>12</v>
      </c>
      <c r="S128" s="57">
        <f t="shared" si="30"/>
        <v>12</v>
      </c>
      <c r="T128" s="56"/>
      <c r="U128" s="58"/>
      <c r="V128" s="58"/>
      <c r="W128" s="59"/>
    </row>
    <row r="129" spans="1:23" ht="15" thickBot="1">
      <c r="A129" s="110" t="s">
        <v>186</v>
      </c>
      <c r="B129" s="103" t="s">
        <v>182</v>
      </c>
      <c r="C129" s="63"/>
      <c r="D129" s="63"/>
      <c r="E129" s="122">
        <v>2</v>
      </c>
      <c r="F129" s="122">
        <v>3</v>
      </c>
      <c r="G129" s="122"/>
      <c r="H129" s="122"/>
      <c r="I129" s="122"/>
      <c r="J129" s="122"/>
      <c r="K129" s="122"/>
      <c r="L129" s="122"/>
      <c r="M129" s="122"/>
      <c r="N129" s="122"/>
      <c r="O129" s="122"/>
      <c r="P129" s="84"/>
      <c r="Q129" s="56">
        <f t="shared" si="29"/>
        <v>5</v>
      </c>
      <c r="R129" s="56">
        <v>14</v>
      </c>
      <c r="S129" s="57">
        <f t="shared" si="30"/>
        <v>14</v>
      </c>
      <c r="T129" s="56"/>
      <c r="U129" s="58"/>
      <c r="V129" s="58"/>
      <c r="W129" s="59"/>
    </row>
    <row r="130" spans="1:23" ht="15" thickBot="1">
      <c r="A130" s="110" t="s">
        <v>186</v>
      </c>
      <c r="B130" s="103" t="s">
        <v>183</v>
      </c>
      <c r="C130" s="63"/>
      <c r="D130" s="63"/>
      <c r="E130" s="122">
        <v>2</v>
      </c>
      <c r="F130" s="122">
        <v>2</v>
      </c>
      <c r="G130" s="122"/>
      <c r="H130" s="122"/>
      <c r="I130" s="122"/>
      <c r="J130" s="122"/>
      <c r="K130" s="122"/>
      <c r="L130" s="122"/>
      <c r="M130" s="122"/>
      <c r="N130" s="122"/>
      <c r="O130" s="122"/>
      <c r="P130" s="84"/>
      <c r="Q130" s="56">
        <f t="shared" si="29"/>
        <v>4</v>
      </c>
      <c r="R130" s="56">
        <v>23</v>
      </c>
      <c r="S130" s="57">
        <f t="shared" si="30"/>
        <v>23</v>
      </c>
      <c r="T130" s="56"/>
      <c r="U130" s="58"/>
      <c r="V130" s="58"/>
      <c r="W130" s="59"/>
    </row>
    <row r="131" spans="1:23" ht="15" thickBot="1">
      <c r="A131" s="110" t="s">
        <v>186</v>
      </c>
      <c r="B131" s="103" t="s">
        <v>184</v>
      </c>
      <c r="C131" s="63"/>
      <c r="D131" s="63"/>
      <c r="E131" s="122"/>
      <c r="F131" s="122">
        <v>0</v>
      </c>
      <c r="G131" s="122"/>
      <c r="H131" s="122"/>
      <c r="I131" s="122"/>
      <c r="J131" s="122"/>
      <c r="K131" s="122"/>
      <c r="L131" s="122"/>
      <c r="M131" s="122"/>
      <c r="N131" s="122"/>
      <c r="O131" s="122"/>
      <c r="P131" s="84"/>
      <c r="Q131" s="56">
        <f t="shared" si="29"/>
        <v>0</v>
      </c>
      <c r="R131" s="56">
        <v>4</v>
      </c>
      <c r="S131" s="57">
        <f t="shared" si="30"/>
        <v>4</v>
      </c>
      <c r="T131" s="56"/>
      <c r="U131" s="58"/>
      <c r="V131" s="58"/>
      <c r="W131" s="59"/>
    </row>
    <row r="132" spans="1:23" ht="15" thickBot="1">
      <c r="A132" s="110" t="s">
        <v>186</v>
      </c>
      <c r="B132" s="103" t="s">
        <v>185</v>
      </c>
      <c r="C132" s="63"/>
      <c r="D132" s="63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84"/>
      <c r="Q132" s="56">
        <f t="shared" si="29"/>
        <v>0</v>
      </c>
      <c r="R132" s="56">
        <v>5</v>
      </c>
      <c r="S132" s="57">
        <f t="shared" si="30"/>
        <v>5</v>
      </c>
      <c r="T132" s="56"/>
      <c r="U132" s="58"/>
      <c r="V132" s="58"/>
      <c r="W132" s="59"/>
    </row>
    <row r="133" spans="1:23" s="65" customFormat="1" ht="29.25" customHeight="1" thickBot="1">
      <c r="A133" s="196" t="s">
        <v>208</v>
      </c>
      <c r="B133" s="197"/>
      <c r="C133" s="45">
        <f>+D133/Metas!O32</f>
        <v>1.9552602808847026</v>
      </c>
      <c r="D133" s="19">
        <f>+Q133/S133</f>
        <v>0.18379446640316205</v>
      </c>
      <c r="E133" s="55">
        <f>SUM(E120:E132)</f>
        <v>43</v>
      </c>
      <c r="F133" s="55">
        <f aca="true" t="shared" si="31" ref="F133:P133">SUM(F120:F132)</f>
        <v>50</v>
      </c>
      <c r="G133" s="55">
        <f t="shared" si="31"/>
        <v>0</v>
      </c>
      <c r="H133" s="55">
        <f t="shared" si="31"/>
        <v>0</v>
      </c>
      <c r="I133" s="55">
        <f t="shared" si="31"/>
        <v>0</v>
      </c>
      <c r="J133" s="55">
        <f t="shared" si="31"/>
        <v>0</v>
      </c>
      <c r="K133" s="55">
        <f t="shared" si="31"/>
        <v>0</v>
      </c>
      <c r="L133" s="55">
        <f t="shared" si="31"/>
        <v>0</v>
      </c>
      <c r="M133" s="55">
        <f t="shared" si="31"/>
        <v>0</v>
      </c>
      <c r="N133" s="55">
        <f t="shared" si="31"/>
        <v>0</v>
      </c>
      <c r="O133" s="55">
        <f t="shared" si="31"/>
        <v>0</v>
      </c>
      <c r="P133" s="55">
        <f t="shared" si="31"/>
        <v>0</v>
      </c>
      <c r="Q133" s="89">
        <f aca="true" t="shared" si="32" ref="Q133:W133">SUM(Q120:Q132)</f>
        <v>93</v>
      </c>
      <c r="R133" s="55">
        <f t="shared" si="32"/>
        <v>506</v>
      </c>
      <c r="S133" s="55">
        <f t="shared" si="32"/>
        <v>506</v>
      </c>
      <c r="T133" s="55">
        <f t="shared" si="32"/>
        <v>0</v>
      </c>
      <c r="U133" s="55">
        <f t="shared" si="32"/>
        <v>0</v>
      </c>
      <c r="V133" s="55">
        <f t="shared" si="32"/>
        <v>0</v>
      </c>
      <c r="W133" s="55">
        <f t="shared" si="32"/>
        <v>0</v>
      </c>
    </row>
    <row r="134" spans="1:23" ht="15" thickBot="1">
      <c r="A134" s="110" t="s">
        <v>191</v>
      </c>
      <c r="B134" s="103" t="s">
        <v>187</v>
      </c>
      <c r="C134" s="63"/>
      <c r="D134" s="63"/>
      <c r="E134" s="122">
        <v>12</v>
      </c>
      <c r="F134" s="122">
        <v>19</v>
      </c>
      <c r="G134" s="122"/>
      <c r="H134" s="122"/>
      <c r="I134" s="122"/>
      <c r="J134" s="122"/>
      <c r="K134" s="122"/>
      <c r="L134" s="122"/>
      <c r="M134" s="122"/>
      <c r="N134" s="122"/>
      <c r="O134" s="122"/>
      <c r="P134" s="84"/>
      <c r="Q134" s="56">
        <f>SUM(E134:P134)</f>
        <v>31</v>
      </c>
      <c r="R134" s="56">
        <v>177</v>
      </c>
      <c r="S134" s="57">
        <f>+R134</f>
        <v>177</v>
      </c>
      <c r="T134" s="56"/>
      <c r="U134" s="58"/>
      <c r="V134" s="58"/>
      <c r="W134" s="59"/>
    </row>
    <row r="135" spans="1:23" ht="15" thickBot="1">
      <c r="A135" s="110" t="s">
        <v>191</v>
      </c>
      <c r="B135" s="103" t="s">
        <v>188</v>
      </c>
      <c r="C135" s="63"/>
      <c r="D135" s="63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84"/>
      <c r="Q135" s="56">
        <f>SUM(E135:P135)</f>
        <v>0</v>
      </c>
      <c r="R135" s="59">
        <v>9</v>
      </c>
      <c r="S135" s="57">
        <f>+R135</f>
        <v>9</v>
      </c>
      <c r="T135" s="56"/>
      <c r="U135" s="58"/>
      <c r="V135" s="58"/>
      <c r="W135" s="59"/>
    </row>
    <row r="136" spans="1:23" ht="15" thickBot="1">
      <c r="A136" s="110" t="s">
        <v>191</v>
      </c>
      <c r="B136" s="103" t="s">
        <v>189</v>
      </c>
      <c r="C136" s="63"/>
      <c r="D136" s="63"/>
      <c r="E136" s="84">
        <v>1</v>
      </c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56">
        <f>SUM(E136:P136)</f>
        <v>1</v>
      </c>
      <c r="R136" s="59">
        <v>2</v>
      </c>
      <c r="S136" s="57">
        <f>+R136</f>
        <v>2</v>
      </c>
      <c r="T136" s="56"/>
      <c r="U136" s="58"/>
      <c r="V136" s="58"/>
      <c r="W136" s="59"/>
    </row>
    <row r="137" spans="1:23" ht="15" thickBot="1">
      <c r="A137" s="110" t="s">
        <v>191</v>
      </c>
      <c r="B137" s="103" t="s">
        <v>190</v>
      </c>
      <c r="C137" s="63"/>
      <c r="D137" s="63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56">
        <f>SUM(E137:P137)</f>
        <v>0</v>
      </c>
      <c r="R137" s="59">
        <v>0</v>
      </c>
      <c r="S137" s="57">
        <f>+R137</f>
        <v>0</v>
      </c>
      <c r="T137" s="56"/>
      <c r="U137" s="58"/>
      <c r="V137" s="58"/>
      <c r="W137" s="59"/>
    </row>
    <row r="138" spans="1:23" s="65" customFormat="1" ht="15" thickBot="1">
      <c r="A138" s="196" t="s">
        <v>209</v>
      </c>
      <c r="B138" s="197"/>
      <c r="C138" s="45">
        <f>+D138/Metas!O34</f>
        <v>1.810774105930285</v>
      </c>
      <c r="D138" s="19">
        <f>+Q138/S138</f>
        <v>0.1702127659574468</v>
      </c>
      <c r="E138" s="55">
        <f>SUM(E134:E137)</f>
        <v>13</v>
      </c>
      <c r="F138" s="55">
        <f aca="true" t="shared" si="33" ref="F138:P138">SUM(F134:F137)</f>
        <v>19</v>
      </c>
      <c r="G138" s="55">
        <f t="shared" si="33"/>
        <v>0</v>
      </c>
      <c r="H138" s="55">
        <f t="shared" si="33"/>
        <v>0</v>
      </c>
      <c r="I138" s="55">
        <f t="shared" si="33"/>
        <v>0</v>
      </c>
      <c r="J138" s="55">
        <f t="shared" si="33"/>
        <v>0</v>
      </c>
      <c r="K138" s="55">
        <f t="shared" si="33"/>
        <v>0</v>
      </c>
      <c r="L138" s="55">
        <f t="shared" si="33"/>
        <v>0</v>
      </c>
      <c r="M138" s="55">
        <f t="shared" si="33"/>
        <v>0</v>
      </c>
      <c r="N138" s="55">
        <f t="shared" si="33"/>
        <v>0</v>
      </c>
      <c r="O138" s="55">
        <f t="shared" si="33"/>
        <v>0</v>
      </c>
      <c r="P138" s="55">
        <f t="shared" si="33"/>
        <v>0</v>
      </c>
      <c r="Q138" s="89">
        <f aca="true" t="shared" si="34" ref="Q138:W138">SUM(Q134:Q137)</f>
        <v>32</v>
      </c>
      <c r="R138" s="55">
        <f t="shared" si="34"/>
        <v>188</v>
      </c>
      <c r="S138" s="55">
        <f t="shared" si="34"/>
        <v>188</v>
      </c>
      <c r="T138" s="55">
        <f t="shared" si="34"/>
        <v>0</v>
      </c>
      <c r="U138" s="55">
        <f t="shared" si="34"/>
        <v>0</v>
      </c>
      <c r="V138" s="55">
        <f t="shared" si="34"/>
        <v>0</v>
      </c>
      <c r="W138" s="55">
        <f t="shared" si="34"/>
        <v>0</v>
      </c>
    </row>
    <row r="139" spans="1:23" ht="15" thickBot="1">
      <c r="A139" s="110" t="s">
        <v>199</v>
      </c>
      <c r="B139" s="103" t="s">
        <v>192</v>
      </c>
      <c r="C139" s="63"/>
      <c r="D139" s="63"/>
      <c r="E139" s="122">
        <v>1</v>
      </c>
      <c r="F139" s="122">
        <v>4</v>
      </c>
      <c r="G139" s="122"/>
      <c r="H139" s="122"/>
      <c r="I139" s="122"/>
      <c r="J139" s="122"/>
      <c r="K139" s="122"/>
      <c r="L139" s="122"/>
      <c r="M139" s="122"/>
      <c r="N139" s="122"/>
      <c r="O139" s="122"/>
      <c r="P139" s="84"/>
      <c r="Q139" s="56">
        <f aca="true" t="shared" si="35" ref="Q139:Q145">SUM(E139:P139)</f>
        <v>5</v>
      </c>
      <c r="R139" s="59">
        <v>18</v>
      </c>
      <c r="S139" s="57">
        <f aca="true" t="shared" si="36" ref="S139:S145">+R139</f>
        <v>18</v>
      </c>
      <c r="T139" s="56"/>
      <c r="U139" s="58"/>
      <c r="V139" s="58"/>
      <c r="W139" s="59"/>
    </row>
    <row r="140" spans="1:23" ht="15" thickBot="1">
      <c r="A140" s="110" t="s">
        <v>199</v>
      </c>
      <c r="B140" s="103" t="s">
        <v>193</v>
      </c>
      <c r="C140" s="63"/>
      <c r="D140" s="63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84"/>
      <c r="Q140" s="56">
        <f t="shared" si="35"/>
        <v>0</v>
      </c>
      <c r="R140" s="59">
        <v>3</v>
      </c>
      <c r="S140" s="57">
        <f t="shared" si="36"/>
        <v>3</v>
      </c>
      <c r="T140" s="56"/>
      <c r="U140" s="58"/>
      <c r="V140" s="58"/>
      <c r="W140" s="59"/>
    </row>
    <row r="141" spans="1:23" ht="15" thickBot="1">
      <c r="A141" s="110" t="s">
        <v>199</v>
      </c>
      <c r="B141" s="103" t="s">
        <v>194</v>
      </c>
      <c r="C141" s="63"/>
      <c r="D141" s="63"/>
      <c r="E141" s="122">
        <v>1</v>
      </c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84"/>
      <c r="Q141" s="56">
        <f t="shared" si="35"/>
        <v>1</v>
      </c>
      <c r="R141" s="59">
        <v>5</v>
      </c>
      <c r="S141" s="57">
        <f t="shared" si="36"/>
        <v>5</v>
      </c>
      <c r="T141" s="56"/>
      <c r="U141" s="58"/>
      <c r="V141" s="58"/>
      <c r="W141" s="59"/>
    </row>
    <row r="142" spans="1:23" ht="15" thickBot="1">
      <c r="A142" s="110" t="s">
        <v>199</v>
      </c>
      <c r="B142" s="103" t="s">
        <v>195</v>
      </c>
      <c r="C142" s="63"/>
      <c r="D142" s="63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84"/>
      <c r="Q142" s="56">
        <f t="shared" si="35"/>
        <v>0</v>
      </c>
      <c r="R142" s="59">
        <v>3</v>
      </c>
      <c r="S142" s="57">
        <f t="shared" si="36"/>
        <v>3</v>
      </c>
      <c r="T142" s="56"/>
      <c r="U142" s="58"/>
      <c r="V142" s="58"/>
      <c r="W142" s="59"/>
    </row>
    <row r="143" spans="1:23" ht="15" thickBot="1">
      <c r="A143" s="110" t="s">
        <v>199</v>
      </c>
      <c r="B143" s="103" t="s">
        <v>196</v>
      </c>
      <c r="C143" s="63"/>
      <c r="D143" s="63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84"/>
      <c r="Q143" s="56">
        <f t="shared" si="35"/>
        <v>0</v>
      </c>
      <c r="R143" s="59">
        <v>2</v>
      </c>
      <c r="S143" s="57">
        <f t="shared" si="36"/>
        <v>2</v>
      </c>
      <c r="T143" s="56"/>
      <c r="U143" s="58"/>
      <c r="V143" s="58"/>
      <c r="W143" s="59"/>
    </row>
    <row r="144" spans="1:23" ht="15" thickBot="1">
      <c r="A144" s="110" t="s">
        <v>199</v>
      </c>
      <c r="B144" s="103" t="s">
        <v>197</v>
      </c>
      <c r="C144" s="63"/>
      <c r="D144" s="63"/>
      <c r="E144" s="122"/>
      <c r="F144" s="122">
        <v>1</v>
      </c>
      <c r="G144" s="122"/>
      <c r="H144" s="122"/>
      <c r="I144" s="122"/>
      <c r="J144" s="122"/>
      <c r="K144" s="122"/>
      <c r="L144" s="122"/>
      <c r="M144" s="122"/>
      <c r="N144" s="122"/>
      <c r="O144" s="122"/>
      <c r="P144" s="84"/>
      <c r="Q144" s="56">
        <f t="shared" si="35"/>
        <v>1</v>
      </c>
      <c r="R144" s="59">
        <v>6</v>
      </c>
      <c r="S144" s="57">
        <f t="shared" si="36"/>
        <v>6</v>
      </c>
      <c r="T144" s="56"/>
      <c r="U144" s="58"/>
      <c r="V144" s="58"/>
      <c r="W144" s="59"/>
    </row>
    <row r="145" spans="1:23" ht="15" thickBot="1">
      <c r="A145" s="110" t="s">
        <v>199</v>
      </c>
      <c r="B145" s="103" t="s">
        <v>198</v>
      </c>
      <c r="C145" s="63"/>
      <c r="D145" s="63"/>
      <c r="E145" s="122">
        <v>1</v>
      </c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84"/>
      <c r="Q145" s="56">
        <f t="shared" si="35"/>
        <v>1</v>
      </c>
      <c r="R145" s="59">
        <v>6</v>
      </c>
      <c r="S145" s="57">
        <f t="shared" si="36"/>
        <v>6</v>
      </c>
      <c r="T145" s="56"/>
      <c r="U145" s="58"/>
      <c r="V145" s="58"/>
      <c r="W145" s="59"/>
    </row>
    <row r="146" spans="1:23" s="65" customFormat="1" ht="15" thickBot="1">
      <c r="A146" s="196" t="s">
        <v>210</v>
      </c>
      <c r="B146" s="197"/>
      <c r="C146" s="45">
        <f>+D146/Metas!O35</f>
        <v>1.9180052745145049</v>
      </c>
      <c r="D146" s="19">
        <f>+Q146/S146</f>
        <v>0.18604651162790697</v>
      </c>
      <c r="E146" s="55">
        <f>SUM(E139:E145)</f>
        <v>3</v>
      </c>
      <c r="F146" s="55">
        <f aca="true" t="shared" si="37" ref="F146:P146">SUM(F139:F145)</f>
        <v>5</v>
      </c>
      <c r="G146" s="55">
        <f t="shared" si="37"/>
        <v>0</v>
      </c>
      <c r="H146" s="55">
        <f t="shared" si="37"/>
        <v>0</v>
      </c>
      <c r="I146" s="55">
        <f t="shared" si="37"/>
        <v>0</v>
      </c>
      <c r="J146" s="55">
        <f t="shared" si="37"/>
        <v>0</v>
      </c>
      <c r="K146" s="55">
        <f t="shared" si="37"/>
        <v>0</v>
      </c>
      <c r="L146" s="55">
        <f t="shared" si="37"/>
        <v>0</v>
      </c>
      <c r="M146" s="55">
        <f t="shared" si="37"/>
        <v>0</v>
      </c>
      <c r="N146" s="55">
        <f t="shared" si="37"/>
        <v>0</v>
      </c>
      <c r="O146" s="55">
        <f t="shared" si="37"/>
        <v>0</v>
      </c>
      <c r="P146" s="55">
        <f t="shared" si="37"/>
        <v>0</v>
      </c>
      <c r="Q146" s="89">
        <f aca="true" t="shared" si="38" ref="Q146:W146">SUM(Q139:Q145)</f>
        <v>8</v>
      </c>
      <c r="R146" s="55">
        <f t="shared" si="38"/>
        <v>43</v>
      </c>
      <c r="S146" s="55">
        <f t="shared" si="38"/>
        <v>43</v>
      </c>
      <c r="T146" s="55">
        <f t="shared" si="38"/>
        <v>0</v>
      </c>
      <c r="U146" s="55">
        <f t="shared" si="38"/>
        <v>0</v>
      </c>
      <c r="V146" s="55">
        <f t="shared" si="38"/>
        <v>0</v>
      </c>
      <c r="W146" s="55">
        <f t="shared" si="38"/>
        <v>0</v>
      </c>
    </row>
    <row r="147" spans="2:23" ht="14.25">
      <c r="B147" s="148" t="s">
        <v>215</v>
      </c>
      <c r="C147" s="72"/>
      <c r="D147" s="81"/>
      <c r="E147" s="84">
        <f aca="true" t="shared" si="39" ref="E147:W147">+E25+E36+E47+E61+E72+E78+E89+E106+E119+E133+E138+E146</f>
        <v>587</v>
      </c>
      <c r="F147" s="84">
        <f t="shared" si="39"/>
        <v>587</v>
      </c>
      <c r="G147" s="84">
        <f t="shared" si="39"/>
        <v>0</v>
      </c>
      <c r="H147" s="84">
        <f t="shared" si="39"/>
        <v>0</v>
      </c>
      <c r="I147" s="84">
        <f t="shared" si="39"/>
        <v>0</v>
      </c>
      <c r="J147" s="84">
        <f t="shared" si="39"/>
        <v>0</v>
      </c>
      <c r="K147" s="84">
        <f t="shared" si="39"/>
        <v>0</v>
      </c>
      <c r="L147" s="84">
        <f t="shared" si="39"/>
        <v>0</v>
      </c>
      <c r="M147" s="84">
        <f t="shared" si="39"/>
        <v>0</v>
      </c>
      <c r="N147" s="84">
        <f t="shared" si="39"/>
        <v>0</v>
      </c>
      <c r="O147" s="84">
        <f t="shared" si="39"/>
        <v>0</v>
      </c>
      <c r="P147" s="84">
        <f t="shared" si="39"/>
        <v>0</v>
      </c>
      <c r="Q147" s="84">
        <f t="shared" si="39"/>
        <v>1174</v>
      </c>
      <c r="R147" s="84">
        <f t="shared" si="39"/>
        <v>7405</v>
      </c>
      <c r="S147" s="84">
        <f t="shared" si="39"/>
        <v>7405</v>
      </c>
      <c r="T147" s="84">
        <f t="shared" si="39"/>
        <v>0</v>
      </c>
      <c r="U147" s="84">
        <f t="shared" si="39"/>
        <v>0</v>
      </c>
      <c r="V147" s="84">
        <f t="shared" si="39"/>
        <v>0</v>
      </c>
      <c r="W147" s="84">
        <f t="shared" si="39"/>
        <v>0</v>
      </c>
    </row>
    <row r="148" spans="3:4" ht="14.25">
      <c r="C148" s="74"/>
      <c r="D148" s="98"/>
    </row>
  </sheetData>
  <sheetProtection/>
  <mergeCells count="21">
    <mergeCell ref="A1:A10"/>
    <mergeCell ref="A133:B133"/>
    <mergeCell ref="A119:B119"/>
    <mergeCell ref="A138:B138"/>
    <mergeCell ref="A106:B106"/>
    <mergeCell ref="A89:B89"/>
    <mergeCell ref="A25:B25"/>
    <mergeCell ref="A146:B146"/>
    <mergeCell ref="A47:B47"/>
    <mergeCell ref="A61:B61"/>
    <mergeCell ref="A72:B72"/>
    <mergeCell ref="A78:B78"/>
    <mergeCell ref="A36:B36"/>
    <mergeCell ref="R10:W10"/>
    <mergeCell ref="R2:W9"/>
    <mergeCell ref="E1:W1"/>
    <mergeCell ref="B1:B10"/>
    <mergeCell ref="D1:D10"/>
    <mergeCell ref="E10:Q10"/>
    <mergeCell ref="E2:Q9"/>
    <mergeCell ref="C1:C1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48"/>
  <sheetViews>
    <sheetView zoomScale="80" zoomScaleNormal="8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11.421875" defaultRowHeight="15"/>
  <cols>
    <col min="1" max="1" width="20.28125" style="110" bestFit="1" customWidth="1"/>
    <col min="2" max="2" width="52.140625" style="110" bestFit="1" customWidth="1"/>
    <col min="3" max="3" width="14.421875" style="62" customWidth="1"/>
    <col min="4" max="4" width="9.7109375" style="62" bestFit="1" customWidth="1"/>
    <col min="5" max="5" width="11.7109375" style="76" bestFit="1" customWidth="1"/>
    <col min="6" max="6" width="10.8515625" style="76" bestFit="1" customWidth="1"/>
    <col min="7" max="7" width="9.7109375" style="76" bestFit="1" customWidth="1"/>
    <col min="8" max="11" width="8.00390625" style="76" bestFit="1" customWidth="1"/>
    <col min="12" max="16" width="9.7109375" style="76" bestFit="1" customWidth="1"/>
    <col min="17" max="17" width="11.7109375" style="76" bestFit="1" customWidth="1"/>
    <col min="18" max="18" width="14.140625" style="62" customWidth="1"/>
    <col min="19" max="19" width="15.7109375" style="62" customWidth="1"/>
    <col min="20" max="16384" width="11.421875" style="62" customWidth="1"/>
  </cols>
  <sheetData>
    <row r="1" spans="1:19" ht="73.5" customHeight="1" thickBot="1" thickTop="1">
      <c r="A1" s="204" t="s">
        <v>0</v>
      </c>
      <c r="B1" s="198" t="s">
        <v>1</v>
      </c>
      <c r="C1" s="198" t="s">
        <v>217</v>
      </c>
      <c r="D1" s="222" t="s">
        <v>213</v>
      </c>
      <c r="E1" s="233" t="s">
        <v>59</v>
      </c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</row>
    <row r="2" spans="1:19" ht="15" customHeight="1">
      <c r="A2" s="205"/>
      <c r="B2" s="208"/>
      <c r="C2" s="199"/>
      <c r="D2" s="223"/>
      <c r="E2" s="242" t="s">
        <v>3</v>
      </c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12" t="s">
        <v>4</v>
      </c>
      <c r="S2" s="209"/>
    </row>
    <row r="3" spans="1:19" ht="15" customHeight="1">
      <c r="A3" s="205"/>
      <c r="B3" s="208"/>
      <c r="C3" s="199"/>
      <c r="D3" s="223"/>
      <c r="E3" s="244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14"/>
      <c r="S3" s="210"/>
    </row>
    <row r="4" spans="1:19" ht="15" customHeight="1">
      <c r="A4" s="205"/>
      <c r="B4" s="208"/>
      <c r="C4" s="199"/>
      <c r="D4" s="223"/>
      <c r="E4" s="244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14"/>
      <c r="S4" s="210"/>
    </row>
    <row r="5" spans="1:19" ht="15" customHeight="1">
      <c r="A5" s="205"/>
      <c r="B5" s="208"/>
      <c r="C5" s="199"/>
      <c r="D5" s="223"/>
      <c r="E5" s="244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14"/>
      <c r="S5" s="210"/>
    </row>
    <row r="6" spans="1:19" ht="15" customHeight="1">
      <c r="A6" s="205"/>
      <c r="B6" s="208"/>
      <c r="C6" s="199"/>
      <c r="D6" s="223"/>
      <c r="E6" s="244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14"/>
      <c r="S6" s="210"/>
    </row>
    <row r="7" spans="1:19" ht="15" customHeight="1">
      <c r="A7" s="205"/>
      <c r="B7" s="208"/>
      <c r="C7" s="199"/>
      <c r="D7" s="223"/>
      <c r="E7" s="244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14"/>
      <c r="S7" s="210"/>
    </row>
    <row r="8" spans="1:19" ht="15" customHeight="1">
      <c r="A8" s="205"/>
      <c r="B8" s="208"/>
      <c r="C8" s="199"/>
      <c r="D8" s="223"/>
      <c r="E8" s="244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14"/>
      <c r="S8" s="210"/>
    </row>
    <row r="9" spans="1:19" ht="15.75" customHeight="1" thickBot="1">
      <c r="A9" s="205"/>
      <c r="B9" s="208"/>
      <c r="C9" s="199"/>
      <c r="D9" s="223"/>
      <c r="E9" s="246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16"/>
      <c r="S9" s="211"/>
    </row>
    <row r="10" spans="1:19" ht="57.75" customHeight="1" thickBot="1">
      <c r="A10" s="206"/>
      <c r="B10" s="200"/>
      <c r="C10" s="199"/>
      <c r="D10" s="224"/>
      <c r="E10" s="251" t="s">
        <v>60</v>
      </c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3"/>
      <c r="R10" s="231" t="s">
        <v>61</v>
      </c>
      <c r="S10" s="231"/>
    </row>
    <row r="11" spans="1:19" ht="15" thickBot="1">
      <c r="A11" s="149"/>
      <c r="B11" s="149"/>
      <c r="C11" s="200"/>
      <c r="D11" s="140" t="s">
        <v>214</v>
      </c>
      <c r="E11" s="144" t="s">
        <v>9</v>
      </c>
      <c r="F11" s="144" t="s">
        <v>10</v>
      </c>
      <c r="G11" s="144" t="s">
        <v>11</v>
      </c>
      <c r="H11" s="144" t="s">
        <v>12</v>
      </c>
      <c r="I11" s="144" t="s">
        <v>13</v>
      </c>
      <c r="J11" s="144" t="s">
        <v>14</v>
      </c>
      <c r="K11" s="144" t="s">
        <v>15</v>
      </c>
      <c r="L11" s="144" t="s">
        <v>16</v>
      </c>
      <c r="M11" s="144" t="s">
        <v>17</v>
      </c>
      <c r="N11" s="144" t="s">
        <v>18</v>
      </c>
      <c r="O11" s="144" t="s">
        <v>19</v>
      </c>
      <c r="P11" s="144" t="s">
        <v>20</v>
      </c>
      <c r="Q11" s="144" t="s">
        <v>21</v>
      </c>
      <c r="R11" s="232"/>
      <c r="S11" s="232"/>
    </row>
    <row r="12" spans="1:17" ht="15" thickBot="1">
      <c r="A12" s="110" t="s">
        <v>78</v>
      </c>
      <c r="B12" s="103" t="s">
        <v>65</v>
      </c>
      <c r="C12" s="63"/>
      <c r="D12" s="63"/>
      <c r="E12" s="121"/>
      <c r="F12" s="121">
        <v>328</v>
      </c>
      <c r="G12" s="121"/>
      <c r="H12" s="121"/>
      <c r="I12" s="121"/>
      <c r="J12" s="121"/>
      <c r="K12" s="121"/>
      <c r="L12" s="121"/>
      <c r="M12" s="121"/>
      <c r="N12" s="121"/>
      <c r="O12" s="121"/>
      <c r="Q12" s="17">
        <f>SUM(E12:P12)</f>
        <v>328</v>
      </c>
    </row>
    <row r="13" spans="1:17" ht="15" thickBot="1">
      <c r="A13" s="110" t="s">
        <v>78</v>
      </c>
      <c r="B13" s="103" t="s">
        <v>66</v>
      </c>
      <c r="C13" s="63"/>
      <c r="D13" s="63"/>
      <c r="E13" s="121">
        <v>215</v>
      </c>
      <c r="F13" s="121">
        <v>181</v>
      </c>
      <c r="G13" s="121"/>
      <c r="H13" s="121"/>
      <c r="I13" s="121"/>
      <c r="J13" s="121"/>
      <c r="K13" s="121"/>
      <c r="L13" s="121"/>
      <c r="M13" s="121"/>
      <c r="N13" s="121"/>
      <c r="O13" s="121"/>
      <c r="Q13" s="17">
        <f aca="true" t="shared" si="0" ref="Q13:Q24">SUM(E13:P13)</f>
        <v>396</v>
      </c>
    </row>
    <row r="14" spans="1:17" ht="15" thickBot="1">
      <c r="A14" s="110" t="s">
        <v>78</v>
      </c>
      <c r="B14" s="103" t="s">
        <v>67</v>
      </c>
      <c r="C14" s="63"/>
      <c r="D14" s="63"/>
      <c r="E14" s="121">
        <v>48</v>
      </c>
      <c r="F14" s="121">
        <v>120</v>
      </c>
      <c r="G14" s="121"/>
      <c r="H14" s="121"/>
      <c r="I14" s="121"/>
      <c r="J14" s="121"/>
      <c r="K14" s="121"/>
      <c r="L14" s="121"/>
      <c r="M14" s="121"/>
      <c r="N14" s="121"/>
      <c r="O14" s="121"/>
      <c r="Q14" s="17">
        <f t="shared" si="0"/>
        <v>168</v>
      </c>
    </row>
    <row r="15" spans="1:17" ht="15" thickBot="1">
      <c r="A15" s="110" t="s">
        <v>78</v>
      </c>
      <c r="B15" s="103" t="s">
        <v>68</v>
      </c>
      <c r="C15" s="63"/>
      <c r="D15" s="63"/>
      <c r="E15" s="121">
        <v>177</v>
      </c>
      <c r="F15" s="121">
        <v>314</v>
      </c>
      <c r="G15" s="121"/>
      <c r="H15" s="121"/>
      <c r="I15" s="121"/>
      <c r="J15" s="121"/>
      <c r="K15" s="121"/>
      <c r="L15" s="121"/>
      <c r="M15" s="121"/>
      <c r="N15" s="121"/>
      <c r="O15" s="121"/>
      <c r="Q15" s="17">
        <f t="shared" si="0"/>
        <v>491</v>
      </c>
    </row>
    <row r="16" spans="1:17" ht="15" thickBot="1">
      <c r="A16" s="110" t="s">
        <v>78</v>
      </c>
      <c r="B16" s="103" t="s">
        <v>69</v>
      </c>
      <c r="C16" s="66"/>
      <c r="D16" s="63"/>
      <c r="E16" s="121">
        <v>93</v>
      </c>
      <c r="F16" s="121">
        <v>78</v>
      </c>
      <c r="G16" s="121"/>
      <c r="H16" s="121"/>
      <c r="I16" s="121"/>
      <c r="J16" s="121"/>
      <c r="K16" s="121"/>
      <c r="L16" s="121"/>
      <c r="M16" s="121"/>
      <c r="N16" s="121"/>
      <c r="O16" s="121"/>
      <c r="Q16" s="17">
        <f t="shared" si="0"/>
        <v>171</v>
      </c>
    </row>
    <row r="17" spans="1:17" ht="15" thickBot="1">
      <c r="A17" s="110" t="s">
        <v>78</v>
      </c>
      <c r="B17" s="103" t="s">
        <v>70</v>
      </c>
      <c r="C17" s="63"/>
      <c r="D17" s="63"/>
      <c r="E17" s="121">
        <v>141</v>
      </c>
      <c r="F17" s="121">
        <v>101</v>
      </c>
      <c r="G17" s="121"/>
      <c r="H17" s="121"/>
      <c r="I17" s="121"/>
      <c r="J17" s="121"/>
      <c r="K17" s="121"/>
      <c r="L17" s="121"/>
      <c r="M17" s="121"/>
      <c r="N17" s="121"/>
      <c r="O17" s="121"/>
      <c r="Q17" s="17">
        <f t="shared" si="0"/>
        <v>242</v>
      </c>
    </row>
    <row r="18" spans="1:17" ht="15" thickBot="1">
      <c r="A18" s="110" t="s">
        <v>78</v>
      </c>
      <c r="B18" s="103" t="s">
        <v>71</v>
      </c>
      <c r="C18" s="63"/>
      <c r="D18" s="63"/>
      <c r="E18" s="121">
        <v>30</v>
      </c>
      <c r="F18" s="121">
        <v>53</v>
      </c>
      <c r="G18" s="121"/>
      <c r="H18" s="121"/>
      <c r="I18" s="121"/>
      <c r="J18" s="121"/>
      <c r="K18" s="121"/>
      <c r="L18" s="121"/>
      <c r="M18" s="121"/>
      <c r="N18" s="121"/>
      <c r="O18" s="121"/>
      <c r="Q18" s="17">
        <f t="shared" si="0"/>
        <v>83</v>
      </c>
    </row>
    <row r="19" spans="1:17" ht="15" thickBot="1">
      <c r="A19" s="110" t="s">
        <v>78</v>
      </c>
      <c r="B19" s="103" t="s">
        <v>72</v>
      </c>
      <c r="C19" s="63"/>
      <c r="D19" s="63"/>
      <c r="E19" s="121">
        <v>2</v>
      </c>
      <c r="F19" s="121">
        <v>9</v>
      </c>
      <c r="G19" s="121"/>
      <c r="H19" s="121"/>
      <c r="I19" s="121"/>
      <c r="J19" s="121"/>
      <c r="K19" s="121"/>
      <c r="L19" s="121"/>
      <c r="M19" s="121"/>
      <c r="N19" s="121"/>
      <c r="O19" s="121"/>
      <c r="Q19" s="17">
        <f t="shared" si="0"/>
        <v>11</v>
      </c>
    </row>
    <row r="20" spans="1:17" ht="15" thickBot="1">
      <c r="A20" s="110" t="s">
        <v>78</v>
      </c>
      <c r="B20" s="103" t="s">
        <v>73</v>
      </c>
      <c r="C20" s="63"/>
      <c r="D20" s="63"/>
      <c r="E20" s="121">
        <v>13</v>
      </c>
      <c r="F20" s="121">
        <v>5</v>
      </c>
      <c r="G20" s="121"/>
      <c r="H20" s="121"/>
      <c r="I20" s="121"/>
      <c r="J20" s="121"/>
      <c r="K20" s="121"/>
      <c r="L20" s="121"/>
      <c r="M20" s="121"/>
      <c r="N20" s="121"/>
      <c r="O20" s="121"/>
      <c r="Q20" s="17">
        <f t="shared" si="0"/>
        <v>18</v>
      </c>
    </row>
    <row r="21" spans="1:17" ht="15" thickBot="1">
      <c r="A21" s="110" t="s">
        <v>78</v>
      </c>
      <c r="B21" s="103" t="s">
        <v>74</v>
      </c>
      <c r="C21" s="67"/>
      <c r="D21" s="63"/>
      <c r="E21" s="121">
        <v>6</v>
      </c>
      <c r="F21" s="121">
        <v>2</v>
      </c>
      <c r="G21" s="121"/>
      <c r="H21" s="121"/>
      <c r="I21" s="121"/>
      <c r="J21" s="121"/>
      <c r="K21" s="121"/>
      <c r="L21" s="121"/>
      <c r="M21" s="121"/>
      <c r="N21" s="121"/>
      <c r="O21" s="121"/>
      <c r="Q21" s="17">
        <f t="shared" si="0"/>
        <v>8</v>
      </c>
    </row>
    <row r="22" spans="1:17" ht="15" thickBot="1">
      <c r="A22" s="110" t="s">
        <v>78</v>
      </c>
      <c r="B22" s="103" t="s">
        <v>75</v>
      </c>
      <c r="C22" s="63"/>
      <c r="D22" s="63"/>
      <c r="E22" s="121">
        <v>27</v>
      </c>
      <c r="F22" s="121">
        <v>23</v>
      </c>
      <c r="G22" s="121"/>
      <c r="H22" s="121"/>
      <c r="I22" s="121"/>
      <c r="J22" s="121"/>
      <c r="K22" s="121"/>
      <c r="L22" s="121"/>
      <c r="M22" s="121"/>
      <c r="N22" s="121"/>
      <c r="O22" s="121"/>
      <c r="Q22" s="17">
        <f t="shared" si="0"/>
        <v>50</v>
      </c>
    </row>
    <row r="23" spans="1:21" ht="15" thickBot="1">
      <c r="A23" s="110" t="s">
        <v>78</v>
      </c>
      <c r="B23" s="103" t="s">
        <v>76</v>
      </c>
      <c r="C23" s="63"/>
      <c r="D23" s="63"/>
      <c r="E23" s="121">
        <v>11</v>
      </c>
      <c r="F23" s="121">
        <v>7</v>
      </c>
      <c r="G23" s="121"/>
      <c r="H23" s="121"/>
      <c r="I23" s="121"/>
      <c r="J23" s="121"/>
      <c r="K23" s="121"/>
      <c r="L23" s="121"/>
      <c r="M23" s="121"/>
      <c r="N23" s="121"/>
      <c r="O23" s="121"/>
      <c r="Q23" s="17">
        <f t="shared" si="0"/>
        <v>18</v>
      </c>
      <c r="U23" s="69"/>
    </row>
    <row r="24" spans="1:17" ht="15" thickBot="1">
      <c r="A24" s="110" t="s">
        <v>78</v>
      </c>
      <c r="B24" s="103" t="s">
        <v>77</v>
      </c>
      <c r="C24" s="63"/>
      <c r="D24" s="63"/>
      <c r="E24" s="121">
        <v>19</v>
      </c>
      <c r="F24" s="121">
        <v>13</v>
      </c>
      <c r="G24" s="121"/>
      <c r="H24" s="121"/>
      <c r="I24" s="121"/>
      <c r="J24" s="121"/>
      <c r="K24" s="121"/>
      <c r="L24" s="121"/>
      <c r="M24" s="121"/>
      <c r="N24" s="121"/>
      <c r="O24" s="121"/>
      <c r="Q24" s="17">
        <f t="shared" si="0"/>
        <v>32</v>
      </c>
    </row>
    <row r="25" spans="1:20" ht="15" thickBot="1">
      <c r="A25" s="284" t="s">
        <v>200</v>
      </c>
      <c r="B25" s="285"/>
      <c r="C25" s="155">
        <f>+D25/Metas!P30</f>
        <v>1.6345642226242418</v>
      </c>
      <c r="D25" s="156">
        <f>+Q25/R25</f>
        <v>0.040864105565606046</v>
      </c>
      <c r="E25" s="82">
        <f>SUM(E12:E24)</f>
        <v>782</v>
      </c>
      <c r="F25" s="82">
        <f aca="true" t="shared" si="1" ref="F25:P25">SUM(F12:F24)</f>
        <v>1234</v>
      </c>
      <c r="G25" s="82">
        <f t="shared" si="1"/>
        <v>0</v>
      </c>
      <c r="H25" s="82">
        <f t="shared" si="1"/>
        <v>0</v>
      </c>
      <c r="I25" s="82">
        <f t="shared" si="1"/>
        <v>0</v>
      </c>
      <c r="J25" s="82">
        <f t="shared" si="1"/>
        <v>0</v>
      </c>
      <c r="K25" s="82">
        <f t="shared" si="1"/>
        <v>0</v>
      </c>
      <c r="L25" s="82">
        <f t="shared" si="1"/>
        <v>0</v>
      </c>
      <c r="M25" s="82">
        <f t="shared" si="1"/>
        <v>0</v>
      </c>
      <c r="N25" s="82">
        <f t="shared" si="1"/>
        <v>0</v>
      </c>
      <c r="O25" s="82">
        <f t="shared" si="1"/>
        <v>0</v>
      </c>
      <c r="P25" s="82">
        <f t="shared" si="1"/>
        <v>0</v>
      </c>
      <c r="Q25" s="157">
        <f>SUM(Q12:Q24)</f>
        <v>2016</v>
      </c>
      <c r="R25" s="280">
        <f>197337/4</f>
        <v>49334.25</v>
      </c>
      <c r="S25" s="281"/>
      <c r="T25" s="90"/>
    </row>
    <row r="26" spans="1:21" ht="15" thickBot="1">
      <c r="A26" s="110" t="s">
        <v>79</v>
      </c>
      <c r="B26" s="103" t="s">
        <v>80</v>
      </c>
      <c r="C26" s="63"/>
      <c r="D26" s="91"/>
      <c r="E26" s="121">
        <v>271</v>
      </c>
      <c r="F26" s="121">
        <v>237</v>
      </c>
      <c r="G26" s="121"/>
      <c r="H26" s="121"/>
      <c r="I26" s="121"/>
      <c r="J26" s="121"/>
      <c r="K26" s="121"/>
      <c r="L26" s="121"/>
      <c r="M26" s="121"/>
      <c r="N26" s="121"/>
      <c r="O26" s="121"/>
      <c r="Q26" s="17">
        <f aca="true" t="shared" si="2" ref="Q26:Q35">SUM(E26:P26)</f>
        <v>508</v>
      </c>
      <c r="U26" s="92"/>
    </row>
    <row r="27" spans="1:17" ht="15" thickBot="1">
      <c r="A27" s="110" t="s">
        <v>79</v>
      </c>
      <c r="B27" s="103" t="s">
        <v>81</v>
      </c>
      <c r="C27" s="63"/>
      <c r="D27" s="91"/>
      <c r="E27" s="121">
        <v>241</v>
      </c>
      <c r="F27" s="121">
        <v>246</v>
      </c>
      <c r="G27" s="121"/>
      <c r="H27" s="121"/>
      <c r="I27" s="121"/>
      <c r="J27" s="121"/>
      <c r="K27" s="121"/>
      <c r="L27" s="121"/>
      <c r="M27" s="121"/>
      <c r="N27" s="121"/>
      <c r="O27" s="121"/>
      <c r="Q27" s="17">
        <f t="shared" si="2"/>
        <v>487</v>
      </c>
    </row>
    <row r="28" spans="1:17" ht="15" thickBot="1">
      <c r="A28" s="110" t="s">
        <v>79</v>
      </c>
      <c r="B28" s="103" t="s">
        <v>82</v>
      </c>
      <c r="C28" s="63"/>
      <c r="D28" s="91"/>
      <c r="E28" s="121">
        <v>396</v>
      </c>
      <c r="F28" s="121">
        <v>359</v>
      </c>
      <c r="G28" s="121"/>
      <c r="H28" s="121"/>
      <c r="I28" s="121"/>
      <c r="J28" s="121"/>
      <c r="K28" s="121"/>
      <c r="L28" s="121"/>
      <c r="M28" s="121"/>
      <c r="N28" s="121"/>
      <c r="O28" s="121"/>
      <c r="Q28" s="17">
        <f t="shared" si="2"/>
        <v>755</v>
      </c>
    </row>
    <row r="29" spans="1:17" ht="15" thickBot="1">
      <c r="A29" s="110" t="s">
        <v>79</v>
      </c>
      <c r="B29" s="103" t="s">
        <v>83</v>
      </c>
      <c r="C29" s="63"/>
      <c r="D29" s="91"/>
      <c r="E29" s="121">
        <v>78</v>
      </c>
      <c r="F29" s="121">
        <v>29</v>
      </c>
      <c r="G29" s="121"/>
      <c r="H29" s="121"/>
      <c r="I29" s="121"/>
      <c r="J29" s="121"/>
      <c r="K29" s="121"/>
      <c r="L29" s="121"/>
      <c r="M29" s="121"/>
      <c r="N29" s="121"/>
      <c r="O29" s="121"/>
      <c r="Q29" s="17">
        <f t="shared" si="2"/>
        <v>107</v>
      </c>
    </row>
    <row r="30" spans="1:17" ht="15" thickBot="1">
      <c r="A30" s="110" t="s">
        <v>79</v>
      </c>
      <c r="B30" s="103" t="s">
        <v>84</v>
      </c>
      <c r="C30" s="63"/>
      <c r="D30" s="91"/>
      <c r="E30" s="121">
        <v>352</v>
      </c>
      <c r="F30" s="121">
        <v>416</v>
      </c>
      <c r="G30" s="121"/>
      <c r="H30" s="121"/>
      <c r="I30" s="121"/>
      <c r="J30" s="121"/>
      <c r="K30" s="121"/>
      <c r="L30" s="121"/>
      <c r="M30" s="121"/>
      <c r="N30" s="121"/>
      <c r="O30" s="121"/>
      <c r="Q30" s="17">
        <f t="shared" si="2"/>
        <v>768</v>
      </c>
    </row>
    <row r="31" spans="1:17" ht="15" thickBot="1">
      <c r="A31" s="110" t="s">
        <v>79</v>
      </c>
      <c r="B31" s="103" t="s">
        <v>85</v>
      </c>
      <c r="C31" s="63"/>
      <c r="D31" s="91"/>
      <c r="E31" s="121">
        <v>1</v>
      </c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Q31" s="17">
        <f t="shared" si="2"/>
        <v>1</v>
      </c>
    </row>
    <row r="32" spans="1:17" ht="15" thickBot="1">
      <c r="A32" s="110" t="s">
        <v>79</v>
      </c>
      <c r="B32" s="103" t="s">
        <v>86</v>
      </c>
      <c r="C32" s="63"/>
      <c r="D32" s="91"/>
      <c r="E32" s="121">
        <v>20</v>
      </c>
      <c r="F32" s="121">
        <v>8</v>
      </c>
      <c r="G32" s="121"/>
      <c r="H32" s="121"/>
      <c r="I32" s="121"/>
      <c r="J32" s="121"/>
      <c r="K32" s="121"/>
      <c r="L32" s="121"/>
      <c r="M32" s="121"/>
      <c r="N32" s="121"/>
      <c r="O32" s="121"/>
      <c r="Q32" s="17">
        <f t="shared" si="2"/>
        <v>28</v>
      </c>
    </row>
    <row r="33" spans="1:17" ht="15" thickBot="1">
      <c r="A33" s="110" t="s">
        <v>79</v>
      </c>
      <c r="B33" s="103" t="s">
        <v>87</v>
      </c>
      <c r="C33" s="63"/>
      <c r="D33" s="91"/>
      <c r="E33" s="121">
        <v>59</v>
      </c>
      <c r="F33" s="121">
        <v>29</v>
      </c>
      <c r="G33" s="121"/>
      <c r="H33" s="121"/>
      <c r="I33" s="121"/>
      <c r="J33" s="121"/>
      <c r="K33" s="121"/>
      <c r="L33" s="121"/>
      <c r="M33" s="121"/>
      <c r="N33" s="121"/>
      <c r="O33" s="121"/>
      <c r="Q33" s="17">
        <f t="shared" si="2"/>
        <v>88</v>
      </c>
    </row>
    <row r="34" spans="1:17" ht="15" thickBot="1">
      <c r="A34" s="110" t="s">
        <v>79</v>
      </c>
      <c r="B34" s="103" t="s">
        <v>88</v>
      </c>
      <c r="C34" s="63"/>
      <c r="D34" s="91"/>
      <c r="E34" s="121">
        <v>1</v>
      </c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Q34" s="17">
        <f t="shared" si="2"/>
        <v>1</v>
      </c>
    </row>
    <row r="35" spans="1:17" ht="15" thickBot="1">
      <c r="A35" s="110" t="s">
        <v>79</v>
      </c>
      <c r="B35" s="103" t="s">
        <v>89</v>
      </c>
      <c r="C35" s="63"/>
      <c r="D35" s="91"/>
      <c r="E35" s="121">
        <v>20</v>
      </c>
      <c r="F35" s="121">
        <v>7</v>
      </c>
      <c r="G35" s="121"/>
      <c r="H35" s="121"/>
      <c r="I35" s="121"/>
      <c r="J35" s="121"/>
      <c r="K35" s="121"/>
      <c r="L35" s="121"/>
      <c r="M35" s="121"/>
      <c r="N35" s="121"/>
      <c r="O35" s="121"/>
      <c r="Q35" s="17">
        <f t="shared" si="2"/>
        <v>27</v>
      </c>
    </row>
    <row r="36" spans="1:19" s="65" customFormat="1" ht="15" thickBot="1">
      <c r="A36" s="284" t="s">
        <v>201</v>
      </c>
      <c r="B36" s="285"/>
      <c r="C36" s="155">
        <f>+D36/Metas!P28</f>
        <v>1.8975098095091956</v>
      </c>
      <c r="D36" s="156">
        <f>+Q36/R36</f>
        <v>0.06072031390429426</v>
      </c>
      <c r="E36" s="157">
        <f aca="true" t="shared" si="3" ref="E36:Q36">SUM(E26:E35)</f>
        <v>1439</v>
      </c>
      <c r="F36" s="157">
        <f t="shared" si="3"/>
        <v>1331</v>
      </c>
      <c r="G36" s="157">
        <f t="shared" si="3"/>
        <v>0</v>
      </c>
      <c r="H36" s="157">
        <f t="shared" si="3"/>
        <v>0</v>
      </c>
      <c r="I36" s="157">
        <f t="shared" si="3"/>
        <v>0</v>
      </c>
      <c r="J36" s="157">
        <f t="shared" si="3"/>
        <v>0</v>
      </c>
      <c r="K36" s="157">
        <f t="shared" si="3"/>
        <v>0</v>
      </c>
      <c r="L36" s="157">
        <f t="shared" si="3"/>
        <v>0</v>
      </c>
      <c r="M36" s="157">
        <f t="shared" si="3"/>
        <v>0</v>
      </c>
      <c r="N36" s="157">
        <f t="shared" si="3"/>
        <v>0</v>
      </c>
      <c r="O36" s="157">
        <f t="shared" si="3"/>
        <v>0</v>
      </c>
      <c r="P36" s="157">
        <f t="shared" si="3"/>
        <v>0</v>
      </c>
      <c r="Q36" s="157">
        <f t="shared" si="3"/>
        <v>2770</v>
      </c>
      <c r="R36" s="282">
        <f>182476/4</f>
        <v>45619</v>
      </c>
      <c r="S36" s="283"/>
    </row>
    <row r="37" spans="1:17" ht="15" thickBot="1">
      <c r="A37" s="110" t="s">
        <v>100</v>
      </c>
      <c r="B37" s="103" t="s">
        <v>90</v>
      </c>
      <c r="C37" s="63"/>
      <c r="D37" s="91"/>
      <c r="E37" s="121">
        <v>6</v>
      </c>
      <c r="F37" s="121">
        <v>6</v>
      </c>
      <c r="G37" s="121"/>
      <c r="H37" s="121"/>
      <c r="I37" s="121"/>
      <c r="J37" s="121"/>
      <c r="K37" s="121"/>
      <c r="L37" s="121"/>
      <c r="M37" s="121"/>
      <c r="N37" s="121"/>
      <c r="O37" s="121"/>
      <c r="Q37" s="17">
        <f aca="true" t="shared" si="4" ref="Q37:Q46">SUM(E37:P37)</f>
        <v>12</v>
      </c>
    </row>
    <row r="38" spans="1:17" ht="15" thickBot="1">
      <c r="A38" s="110" t="s">
        <v>100</v>
      </c>
      <c r="B38" s="103" t="s">
        <v>91</v>
      </c>
      <c r="C38" s="63"/>
      <c r="D38" s="91"/>
      <c r="E38" s="121">
        <v>7</v>
      </c>
      <c r="F38" s="121">
        <v>4</v>
      </c>
      <c r="G38" s="121"/>
      <c r="H38" s="121"/>
      <c r="I38" s="121"/>
      <c r="J38" s="121"/>
      <c r="K38" s="121"/>
      <c r="L38" s="121"/>
      <c r="M38" s="121"/>
      <c r="N38" s="121"/>
      <c r="O38" s="121"/>
      <c r="Q38" s="17">
        <f t="shared" si="4"/>
        <v>11</v>
      </c>
    </row>
    <row r="39" spans="1:17" ht="15" thickBot="1">
      <c r="A39" s="110" t="s">
        <v>100</v>
      </c>
      <c r="B39" s="103" t="s">
        <v>92</v>
      </c>
      <c r="C39" s="63"/>
      <c r="D39" s="91"/>
      <c r="E39" s="121">
        <v>13</v>
      </c>
      <c r="F39" s="121">
        <v>19</v>
      </c>
      <c r="G39" s="121"/>
      <c r="H39" s="121"/>
      <c r="I39" s="121"/>
      <c r="J39" s="121"/>
      <c r="K39" s="121"/>
      <c r="L39" s="121"/>
      <c r="M39" s="121"/>
      <c r="N39" s="121"/>
      <c r="O39" s="121"/>
      <c r="Q39" s="17">
        <f t="shared" si="4"/>
        <v>32</v>
      </c>
    </row>
    <row r="40" spans="1:17" ht="15" thickBot="1">
      <c r="A40" s="110" t="s">
        <v>100</v>
      </c>
      <c r="B40" s="103" t="s">
        <v>93</v>
      </c>
      <c r="C40" s="63"/>
      <c r="D40" s="91"/>
      <c r="E40" s="121">
        <v>7</v>
      </c>
      <c r="F40" s="121">
        <v>4</v>
      </c>
      <c r="G40" s="121"/>
      <c r="H40" s="121"/>
      <c r="I40" s="121"/>
      <c r="J40" s="121"/>
      <c r="K40" s="121"/>
      <c r="L40" s="121"/>
      <c r="M40" s="121"/>
      <c r="N40" s="121"/>
      <c r="O40" s="121"/>
      <c r="Q40" s="17">
        <f t="shared" si="4"/>
        <v>11</v>
      </c>
    </row>
    <row r="41" spans="1:17" ht="15" thickBot="1">
      <c r="A41" s="110" t="s">
        <v>100</v>
      </c>
      <c r="B41" s="103" t="s">
        <v>94</v>
      </c>
      <c r="C41" s="63"/>
      <c r="D41" s="91"/>
      <c r="E41" s="121">
        <v>36</v>
      </c>
      <c r="F41" s="121">
        <v>13</v>
      </c>
      <c r="G41" s="121"/>
      <c r="H41" s="121"/>
      <c r="I41" s="121"/>
      <c r="J41" s="121"/>
      <c r="K41" s="121"/>
      <c r="L41" s="121"/>
      <c r="M41" s="121"/>
      <c r="N41" s="121"/>
      <c r="O41" s="121"/>
      <c r="Q41" s="17">
        <f t="shared" si="4"/>
        <v>49</v>
      </c>
    </row>
    <row r="42" spans="1:17" ht="15" thickBot="1">
      <c r="A42" s="110" t="s">
        <v>100</v>
      </c>
      <c r="B42" s="103" t="s">
        <v>95</v>
      </c>
      <c r="C42" s="63"/>
      <c r="D42" s="91"/>
      <c r="E42" s="121">
        <v>9</v>
      </c>
      <c r="F42" s="121">
        <v>7</v>
      </c>
      <c r="G42" s="121"/>
      <c r="H42" s="121"/>
      <c r="I42" s="121"/>
      <c r="J42" s="121"/>
      <c r="K42" s="121"/>
      <c r="L42" s="121"/>
      <c r="M42" s="121"/>
      <c r="N42" s="121"/>
      <c r="O42" s="121"/>
      <c r="Q42" s="17">
        <f t="shared" si="4"/>
        <v>16</v>
      </c>
    </row>
    <row r="43" spans="1:17" ht="15" thickBot="1">
      <c r="A43" s="110" t="s">
        <v>100</v>
      </c>
      <c r="B43" s="103" t="s">
        <v>96</v>
      </c>
      <c r="C43" s="63"/>
      <c r="D43" s="91"/>
      <c r="E43" s="121">
        <v>3</v>
      </c>
      <c r="F43" s="121">
        <v>21</v>
      </c>
      <c r="G43" s="121"/>
      <c r="H43" s="121"/>
      <c r="I43" s="121"/>
      <c r="J43" s="121"/>
      <c r="K43" s="121"/>
      <c r="L43" s="121"/>
      <c r="M43" s="121"/>
      <c r="N43" s="121"/>
      <c r="O43" s="121"/>
      <c r="Q43" s="17">
        <f t="shared" si="4"/>
        <v>24</v>
      </c>
    </row>
    <row r="44" spans="1:17" ht="15" thickBot="1">
      <c r="A44" s="110" t="s">
        <v>100</v>
      </c>
      <c r="B44" s="103" t="s">
        <v>97</v>
      </c>
      <c r="C44" s="63"/>
      <c r="D44" s="91"/>
      <c r="E44" s="121">
        <v>6</v>
      </c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Q44" s="17">
        <f t="shared" si="4"/>
        <v>6</v>
      </c>
    </row>
    <row r="45" spans="1:17" ht="15" thickBot="1">
      <c r="A45" s="110" t="s">
        <v>100</v>
      </c>
      <c r="B45" s="103" t="s">
        <v>98</v>
      </c>
      <c r="C45" s="63"/>
      <c r="D45" s="91"/>
      <c r="E45" s="121">
        <v>41</v>
      </c>
      <c r="F45" s="121">
        <v>29</v>
      </c>
      <c r="G45" s="121"/>
      <c r="H45" s="121"/>
      <c r="I45" s="121"/>
      <c r="J45" s="121"/>
      <c r="K45" s="121"/>
      <c r="L45" s="121"/>
      <c r="M45" s="121"/>
      <c r="N45" s="121"/>
      <c r="O45" s="121"/>
      <c r="Q45" s="17">
        <f t="shared" si="4"/>
        <v>70</v>
      </c>
    </row>
    <row r="46" spans="1:17" ht="15" thickBot="1">
      <c r="A46" s="110" t="s">
        <v>100</v>
      </c>
      <c r="B46" s="103" t="s">
        <v>99</v>
      </c>
      <c r="C46" s="63"/>
      <c r="D46" s="91"/>
      <c r="E46" s="121">
        <v>6</v>
      </c>
      <c r="F46" s="121">
        <v>4</v>
      </c>
      <c r="G46" s="121"/>
      <c r="H46" s="121"/>
      <c r="I46" s="121"/>
      <c r="J46" s="121"/>
      <c r="K46" s="121"/>
      <c r="L46" s="121"/>
      <c r="M46" s="121"/>
      <c r="N46" s="121"/>
      <c r="O46" s="121"/>
      <c r="Q46" s="17">
        <f t="shared" si="4"/>
        <v>10</v>
      </c>
    </row>
    <row r="47" spans="1:19" s="65" customFormat="1" ht="15" thickBot="1">
      <c r="A47" s="196" t="s">
        <v>202</v>
      </c>
      <c r="B47" s="197"/>
      <c r="C47" s="45">
        <f>+D47/Metas!P37</f>
        <v>1.8441149013666345</v>
      </c>
      <c r="D47" s="20">
        <f>+Q47/R47</f>
        <v>0.0848292854628652</v>
      </c>
      <c r="E47" s="14">
        <f>SUM(E37:E46)</f>
        <v>134</v>
      </c>
      <c r="F47" s="14">
        <f aca="true" t="shared" si="5" ref="F47:P47">SUM(F37:F46)</f>
        <v>107</v>
      </c>
      <c r="G47" s="14">
        <f t="shared" si="5"/>
        <v>0</v>
      </c>
      <c r="H47" s="14">
        <f t="shared" si="5"/>
        <v>0</v>
      </c>
      <c r="I47" s="14">
        <f t="shared" si="5"/>
        <v>0</v>
      </c>
      <c r="J47" s="14">
        <f t="shared" si="5"/>
        <v>0</v>
      </c>
      <c r="K47" s="14">
        <f t="shared" si="5"/>
        <v>0</v>
      </c>
      <c r="L47" s="14">
        <f t="shared" si="5"/>
        <v>0</v>
      </c>
      <c r="M47" s="14">
        <f t="shared" si="5"/>
        <v>0</v>
      </c>
      <c r="N47" s="14">
        <f t="shared" si="5"/>
        <v>0</v>
      </c>
      <c r="O47" s="14">
        <f t="shared" si="5"/>
        <v>0</v>
      </c>
      <c r="P47" s="14">
        <f t="shared" si="5"/>
        <v>0</v>
      </c>
      <c r="Q47" s="14">
        <f>SUM(Q37:Q46)</f>
        <v>241</v>
      </c>
      <c r="R47" s="286">
        <f>11364/4</f>
        <v>2841</v>
      </c>
      <c r="S47" s="287"/>
    </row>
    <row r="48" spans="1:17" ht="15" thickBot="1">
      <c r="A48" s="110" t="s">
        <v>114</v>
      </c>
      <c r="B48" s="103" t="s">
        <v>101</v>
      </c>
      <c r="C48" s="63"/>
      <c r="D48" s="91"/>
      <c r="E48" s="121">
        <v>16</v>
      </c>
      <c r="F48" s="121">
        <v>43</v>
      </c>
      <c r="G48" s="121"/>
      <c r="H48" s="121"/>
      <c r="I48" s="121"/>
      <c r="J48" s="121"/>
      <c r="K48" s="121"/>
      <c r="L48" s="121"/>
      <c r="M48" s="121"/>
      <c r="N48" s="121"/>
      <c r="O48" s="121"/>
      <c r="Q48" s="17">
        <f aca="true" t="shared" si="6" ref="Q48:Q60">SUM(E48:P48)</f>
        <v>59</v>
      </c>
    </row>
    <row r="49" spans="1:17" ht="15" thickBot="1">
      <c r="A49" s="110" t="s">
        <v>114</v>
      </c>
      <c r="B49" s="103" t="s">
        <v>102</v>
      </c>
      <c r="C49" s="63"/>
      <c r="D49" s="9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Q49" s="17">
        <f t="shared" si="6"/>
        <v>0</v>
      </c>
    </row>
    <row r="50" spans="1:17" ht="15" thickBot="1">
      <c r="A50" s="110" t="s">
        <v>114</v>
      </c>
      <c r="B50" s="103" t="s">
        <v>103</v>
      </c>
      <c r="C50" s="63"/>
      <c r="D50" s="91"/>
      <c r="E50" s="121"/>
      <c r="F50" s="121">
        <v>1</v>
      </c>
      <c r="G50" s="121"/>
      <c r="H50" s="121"/>
      <c r="I50" s="121"/>
      <c r="J50" s="121"/>
      <c r="K50" s="121"/>
      <c r="L50" s="121"/>
      <c r="M50" s="121"/>
      <c r="N50" s="121"/>
      <c r="O50" s="121"/>
      <c r="Q50" s="17">
        <f t="shared" si="6"/>
        <v>1</v>
      </c>
    </row>
    <row r="51" spans="1:17" ht="15" thickBot="1">
      <c r="A51" s="110" t="s">
        <v>114</v>
      </c>
      <c r="B51" s="103" t="s">
        <v>104</v>
      </c>
      <c r="C51" s="63"/>
      <c r="D51" s="91"/>
      <c r="E51" s="121">
        <v>3</v>
      </c>
      <c r="F51" s="121">
        <v>3</v>
      </c>
      <c r="G51" s="121"/>
      <c r="H51" s="121"/>
      <c r="I51" s="121"/>
      <c r="J51" s="121"/>
      <c r="K51" s="121"/>
      <c r="L51" s="121"/>
      <c r="M51" s="121"/>
      <c r="N51" s="121"/>
      <c r="O51" s="121"/>
      <c r="Q51" s="17">
        <f t="shared" si="6"/>
        <v>6</v>
      </c>
    </row>
    <row r="52" spans="1:17" ht="15" thickBot="1">
      <c r="A52" s="110" t="s">
        <v>114</v>
      </c>
      <c r="B52" s="103" t="s">
        <v>105</v>
      </c>
      <c r="C52" s="63"/>
      <c r="D52" s="9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Q52" s="17">
        <f t="shared" si="6"/>
        <v>0</v>
      </c>
    </row>
    <row r="53" spans="1:17" ht="15" thickBot="1">
      <c r="A53" s="110" t="s">
        <v>114</v>
      </c>
      <c r="B53" s="103" t="s">
        <v>106</v>
      </c>
      <c r="C53" s="63"/>
      <c r="D53" s="91"/>
      <c r="E53" s="121"/>
      <c r="F53" s="121">
        <v>1</v>
      </c>
      <c r="G53" s="121"/>
      <c r="H53" s="121"/>
      <c r="I53" s="121"/>
      <c r="J53" s="121"/>
      <c r="K53" s="121"/>
      <c r="L53" s="121"/>
      <c r="M53" s="121"/>
      <c r="N53" s="121"/>
      <c r="O53" s="121"/>
      <c r="Q53" s="17">
        <f t="shared" si="6"/>
        <v>1</v>
      </c>
    </row>
    <row r="54" spans="1:17" ht="15" thickBot="1">
      <c r="A54" s="110" t="s">
        <v>114</v>
      </c>
      <c r="B54" s="103" t="s">
        <v>107</v>
      </c>
      <c r="C54" s="63"/>
      <c r="D54" s="9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Q54" s="17">
        <f t="shared" si="6"/>
        <v>0</v>
      </c>
    </row>
    <row r="55" spans="1:17" ht="15" thickBot="1">
      <c r="A55" s="110" t="s">
        <v>114</v>
      </c>
      <c r="B55" s="103" t="s">
        <v>108</v>
      </c>
      <c r="C55" s="63"/>
      <c r="D55" s="9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Q55" s="17">
        <f t="shared" si="6"/>
        <v>0</v>
      </c>
    </row>
    <row r="56" spans="1:17" ht="15" thickBot="1">
      <c r="A56" s="110" t="s">
        <v>114</v>
      </c>
      <c r="B56" s="103" t="s">
        <v>109</v>
      </c>
      <c r="C56" s="63"/>
      <c r="D56" s="91"/>
      <c r="E56" s="121"/>
      <c r="F56" s="121">
        <v>3</v>
      </c>
      <c r="G56" s="121"/>
      <c r="H56" s="121"/>
      <c r="I56" s="121"/>
      <c r="J56" s="121"/>
      <c r="K56" s="121"/>
      <c r="L56" s="121"/>
      <c r="M56" s="121"/>
      <c r="N56" s="121"/>
      <c r="O56" s="121"/>
      <c r="Q56" s="17">
        <f t="shared" si="6"/>
        <v>3</v>
      </c>
    </row>
    <row r="57" spans="1:17" ht="15" thickBot="1">
      <c r="A57" s="110" t="s">
        <v>114</v>
      </c>
      <c r="B57" s="103" t="s">
        <v>110</v>
      </c>
      <c r="C57" s="63"/>
      <c r="D57" s="9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Q57" s="17">
        <f t="shared" si="6"/>
        <v>0</v>
      </c>
    </row>
    <row r="58" spans="1:17" ht="15" thickBot="1">
      <c r="A58" s="110" t="s">
        <v>114</v>
      </c>
      <c r="B58" s="103" t="s">
        <v>111</v>
      </c>
      <c r="C58" s="63"/>
      <c r="D58" s="9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Q58" s="17">
        <f t="shared" si="6"/>
        <v>0</v>
      </c>
    </row>
    <row r="59" spans="1:17" ht="15" thickBot="1">
      <c r="A59" s="110" t="s">
        <v>114</v>
      </c>
      <c r="B59" s="103" t="s">
        <v>112</v>
      </c>
      <c r="C59" s="63"/>
      <c r="D59" s="91"/>
      <c r="E59" s="121">
        <v>3</v>
      </c>
      <c r="F59" s="121">
        <v>5</v>
      </c>
      <c r="G59" s="121"/>
      <c r="H59" s="121"/>
      <c r="I59" s="121"/>
      <c r="J59" s="121"/>
      <c r="K59" s="121"/>
      <c r="L59" s="121"/>
      <c r="M59" s="121"/>
      <c r="N59" s="121"/>
      <c r="O59" s="121"/>
      <c r="Q59" s="17">
        <f t="shared" si="6"/>
        <v>8</v>
      </c>
    </row>
    <row r="60" spans="1:17" ht="15" thickBot="1">
      <c r="A60" s="110" t="s">
        <v>114</v>
      </c>
      <c r="B60" s="103" t="s">
        <v>113</v>
      </c>
      <c r="C60" s="63"/>
      <c r="D60" s="9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Q60" s="17">
        <f t="shared" si="6"/>
        <v>0</v>
      </c>
    </row>
    <row r="61" spans="1:19" s="65" customFormat="1" ht="15" thickBot="1">
      <c r="A61" s="196" t="s">
        <v>203</v>
      </c>
      <c r="B61" s="197"/>
      <c r="C61" s="45">
        <f>+D61/Metas!P29</f>
        <v>0.5820949822293118</v>
      </c>
      <c r="D61" s="20">
        <f>+Q61/R61</f>
        <v>0.02503008423586041</v>
      </c>
      <c r="E61" s="14">
        <f>SUM(E48:E60)</f>
        <v>22</v>
      </c>
      <c r="F61" s="14">
        <f aca="true" t="shared" si="7" ref="F61:P61">SUM(F48:F60)</f>
        <v>56</v>
      </c>
      <c r="G61" s="14">
        <f t="shared" si="7"/>
        <v>0</v>
      </c>
      <c r="H61" s="14">
        <f t="shared" si="7"/>
        <v>0</v>
      </c>
      <c r="I61" s="14">
        <f t="shared" si="7"/>
        <v>0</v>
      </c>
      <c r="J61" s="14">
        <f t="shared" si="7"/>
        <v>0</v>
      </c>
      <c r="K61" s="14">
        <f t="shared" si="7"/>
        <v>0</v>
      </c>
      <c r="L61" s="14">
        <f t="shared" si="7"/>
        <v>0</v>
      </c>
      <c r="M61" s="14">
        <f t="shared" si="7"/>
        <v>0</v>
      </c>
      <c r="N61" s="14">
        <f t="shared" si="7"/>
        <v>0</v>
      </c>
      <c r="O61" s="14">
        <f t="shared" si="7"/>
        <v>0</v>
      </c>
      <c r="P61" s="14">
        <f t="shared" si="7"/>
        <v>0</v>
      </c>
      <c r="Q61" s="14">
        <f>SUM(Q48:Q60)</f>
        <v>78</v>
      </c>
      <c r="R61" s="288">
        <f>12465/4</f>
        <v>3116.25</v>
      </c>
      <c r="S61" s="289"/>
    </row>
    <row r="62" spans="1:17" ht="15" thickBot="1">
      <c r="A62" s="110" t="s">
        <v>125</v>
      </c>
      <c r="B62" s="103" t="s">
        <v>115</v>
      </c>
      <c r="C62" s="63"/>
      <c r="D62" s="91"/>
      <c r="E62" s="121">
        <v>40</v>
      </c>
      <c r="F62" s="121">
        <v>58</v>
      </c>
      <c r="G62" s="121"/>
      <c r="H62" s="121"/>
      <c r="I62" s="121"/>
      <c r="J62" s="121"/>
      <c r="K62" s="121"/>
      <c r="L62" s="121"/>
      <c r="M62" s="121"/>
      <c r="N62" s="121"/>
      <c r="O62" s="121"/>
      <c r="Q62" s="17">
        <f aca="true" t="shared" si="8" ref="Q62:Q71">SUM(E62:P62)</f>
        <v>98</v>
      </c>
    </row>
    <row r="63" spans="1:17" ht="15" thickBot="1">
      <c r="A63" s="110" t="s">
        <v>125</v>
      </c>
      <c r="B63" s="103" t="s">
        <v>116</v>
      </c>
      <c r="C63" s="63"/>
      <c r="D63" s="9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Q63" s="17">
        <f t="shared" si="8"/>
        <v>0</v>
      </c>
    </row>
    <row r="64" spans="1:17" ht="15" thickBot="1">
      <c r="A64" s="110" t="s">
        <v>125</v>
      </c>
      <c r="B64" s="103" t="s">
        <v>117</v>
      </c>
      <c r="C64" s="63"/>
      <c r="D64" s="9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Q64" s="17">
        <f t="shared" si="8"/>
        <v>0</v>
      </c>
    </row>
    <row r="65" spans="1:17" ht="15" thickBot="1">
      <c r="A65" s="110" t="s">
        <v>125</v>
      </c>
      <c r="B65" s="103" t="s">
        <v>118</v>
      </c>
      <c r="C65" s="63"/>
      <c r="D65" s="9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Q65" s="17">
        <f t="shared" si="8"/>
        <v>0</v>
      </c>
    </row>
    <row r="66" spans="1:17" ht="15" thickBot="1">
      <c r="A66" s="110" t="s">
        <v>125</v>
      </c>
      <c r="B66" s="103" t="s">
        <v>119</v>
      </c>
      <c r="C66" s="63"/>
      <c r="D66" s="9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Q66" s="17">
        <f t="shared" si="8"/>
        <v>0</v>
      </c>
    </row>
    <row r="67" spans="1:17" ht="15" thickBot="1">
      <c r="A67" s="110" t="s">
        <v>125</v>
      </c>
      <c r="B67" s="103" t="s">
        <v>120</v>
      </c>
      <c r="C67" s="63"/>
      <c r="D67" s="9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Q67" s="17">
        <f t="shared" si="8"/>
        <v>0</v>
      </c>
    </row>
    <row r="68" spans="1:17" ht="15" thickBot="1">
      <c r="A68" s="110" t="s">
        <v>125</v>
      </c>
      <c r="B68" s="103" t="s">
        <v>121</v>
      </c>
      <c r="C68" s="63"/>
      <c r="D68" s="9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Q68" s="17">
        <f t="shared" si="8"/>
        <v>0</v>
      </c>
    </row>
    <row r="69" spans="1:17" ht="15" thickBot="1">
      <c r="A69" s="110" t="s">
        <v>125</v>
      </c>
      <c r="B69" s="103" t="s">
        <v>122</v>
      </c>
      <c r="C69" s="63"/>
      <c r="D69" s="9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Q69" s="17">
        <f t="shared" si="8"/>
        <v>0</v>
      </c>
    </row>
    <row r="70" spans="1:22" ht="15" thickBot="1">
      <c r="A70" s="110" t="s">
        <v>125</v>
      </c>
      <c r="B70" s="103" t="s">
        <v>123</v>
      </c>
      <c r="C70" s="63"/>
      <c r="D70" s="9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Q70" s="17">
        <f t="shared" si="8"/>
        <v>0</v>
      </c>
      <c r="V70" s="69"/>
    </row>
    <row r="71" spans="1:17" ht="15" thickBot="1">
      <c r="A71" s="110" t="s">
        <v>125</v>
      </c>
      <c r="B71" s="103" t="s">
        <v>124</v>
      </c>
      <c r="C71" s="63"/>
      <c r="D71" s="91"/>
      <c r="Q71" s="17">
        <f t="shared" si="8"/>
        <v>0</v>
      </c>
    </row>
    <row r="72" spans="1:19" s="65" customFormat="1" ht="15" thickBot="1">
      <c r="A72" s="196" t="s">
        <v>23</v>
      </c>
      <c r="B72" s="197"/>
      <c r="C72" s="45">
        <f>+D72/Metas!P26</f>
        <v>1.1883289124668437</v>
      </c>
      <c r="D72" s="20">
        <f>+Q72/R72</f>
        <v>0.041591511936339524</v>
      </c>
      <c r="E72" s="14">
        <f>SUM(E62:E71)</f>
        <v>40</v>
      </c>
      <c r="F72" s="14">
        <f aca="true" t="shared" si="9" ref="F72:P72">SUM(F62:F71)</f>
        <v>58</v>
      </c>
      <c r="G72" s="14">
        <f t="shared" si="9"/>
        <v>0</v>
      </c>
      <c r="H72" s="14">
        <f t="shared" si="9"/>
        <v>0</v>
      </c>
      <c r="I72" s="14">
        <f t="shared" si="9"/>
        <v>0</v>
      </c>
      <c r="J72" s="14">
        <f t="shared" si="9"/>
        <v>0</v>
      </c>
      <c r="K72" s="14">
        <f t="shared" si="9"/>
        <v>0</v>
      </c>
      <c r="L72" s="14">
        <f t="shared" si="9"/>
        <v>0</v>
      </c>
      <c r="M72" s="14">
        <f t="shared" si="9"/>
        <v>0</v>
      </c>
      <c r="N72" s="14">
        <f t="shared" si="9"/>
        <v>0</v>
      </c>
      <c r="O72" s="14">
        <f t="shared" si="9"/>
        <v>0</v>
      </c>
      <c r="P72" s="14">
        <f t="shared" si="9"/>
        <v>0</v>
      </c>
      <c r="Q72" s="14">
        <f>SUM(Q62:Q71)</f>
        <v>98</v>
      </c>
      <c r="R72" s="288">
        <f>9425/4</f>
        <v>2356.25</v>
      </c>
      <c r="S72" s="289"/>
    </row>
    <row r="73" spans="1:17" ht="15" thickBot="1">
      <c r="A73" s="110" t="s">
        <v>131</v>
      </c>
      <c r="B73" s="103" t="s">
        <v>126</v>
      </c>
      <c r="C73" s="63"/>
      <c r="D73" s="91"/>
      <c r="E73" s="121">
        <v>29</v>
      </c>
      <c r="F73" s="121">
        <v>14</v>
      </c>
      <c r="G73" s="121"/>
      <c r="H73" s="121"/>
      <c r="I73" s="121"/>
      <c r="J73" s="121"/>
      <c r="K73" s="121"/>
      <c r="L73" s="121"/>
      <c r="M73" s="121"/>
      <c r="N73" s="121"/>
      <c r="O73" s="121"/>
      <c r="P73" s="88"/>
      <c r="Q73" s="17">
        <f>SUM(E73:P73)</f>
        <v>43</v>
      </c>
    </row>
    <row r="74" spans="1:17" ht="15" thickBot="1">
      <c r="A74" s="110" t="s">
        <v>131</v>
      </c>
      <c r="B74" s="103" t="s">
        <v>127</v>
      </c>
      <c r="C74" s="63"/>
      <c r="D74" s="91"/>
      <c r="E74" s="121">
        <v>10</v>
      </c>
      <c r="F74" s="121">
        <v>5</v>
      </c>
      <c r="G74" s="121"/>
      <c r="H74" s="121"/>
      <c r="I74" s="121"/>
      <c r="J74" s="121"/>
      <c r="K74" s="121"/>
      <c r="L74" s="121"/>
      <c r="M74" s="121"/>
      <c r="N74" s="121"/>
      <c r="O74" s="121"/>
      <c r="Q74" s="17">
        <f>SUM(E74:P74)</f>
        <v>15</v>
      </c>
    </row>
    <row r="75" spans="1:17" ht="15" thickBot="1">
      <c r="A75" s="110" t="s">
        <v>131</v>
      </c>
      <c r="B75" s="103" t="s">
        <v>128</v>
      </c>
      <c r="C75" s="63"/>
      <c r="D75" s="91"/>
      <c r="E75" s="121">
        <v>15</v>
      </c>
      <c r="F75" s="121">
        <v>8</v>
      </c>
      <c r="G75" s="121"/>
      <c r="H75" s="121"/>
      <c r="I75" s="121"/>
      <c r="J75" s="121"/>
      <c r="K75" s="121"/>
      <c r="L75" s="121"/>
      <c r="M75" s="121"/>
      <c r="N75" s="121"/>
      <c r="O75" s="121"/>
      <c r="Q75" s="17">
        <f>SUM(E75:P75)</f>
        <v>23</v>
      </c>
    </row>
    <row r="76" spans="1:17" ht="15" thickBot="1">
      <c r="A76" s="110" t="s">
        <v>131</v>
      </c>
      <c r="B76" s="103" t="s">
        <v>129</v>
      </c>
      <c r="C76" s="63"/>
      <c r="D76" s="91"/>
      <c r="E76" s="121">
        <v>4</v>
      </c>
      <c r="F76" s="121">
        <v>5</v>
      </c>
      <c r="G76" s="121"/>
      <c r="H76" s="121"/>
      <c r="I76" s="121"/>
      <c r="J76" s="121"/>
      <c r="K76" s="121"/>
      <c r="L76" s="121"/>
      <c r="M76" s="121"/>
      <c r="N76" s="121"/>
      <c r="O76" s="121"/>
      <c r="Q76" s="17">
        <f>SUM(E76:P76)</f>
        <v>9</v>
      </c>
    </row>
    <row r="77" spans="1:17" ht="15" thickBot="1">
      <c r="A77" s="110" t="s">
        <v>131</v>
      </c>
      <c r="B77" s="103" t="s">
        <v>130</v>
      </c>
      <c r="C77" s="63"/>
      <c r="D77" s="91"/>
      <c r="E77" s="121">
        <v>13</v>
      </c>
      <c r="F77" s="121">
        <v>1</v>
      </c>
      <c r="G77" s="121"/>
      <c r="H77" s="121"/>
      <c r="I77" s="121"/>
      <c r="J77" s="121"/>
      <c r="K77" s="121"/>
      <c r="L77" s="121"/>
      <c r="M77" s="121"/>
      <c r="N77" s="121"/>
      <c r="O77" s="121"/>
      <c r="Q77" s="17">
        <f>SUM(E77:P77)</f>
        <v>14</v>
      </c>
    </row>
    <row r="78" spans="1:19" s="65" customFormat="1" ht="15" thickBot="1">
      <c r="A78" s="196" t="s">
        <v>204</v>
      </c>
      <c r="B78" s="197"/>
      <c r="C78" s="45">
        <f>+D78/Metas!P31</f>
        <v>1.4624817189785129</v>
      </c>
      <c r="D78" s="20">
        <f>+Q78/R78</f>
        <v>0.07019912251096862</v>
      </c>
      <c r="E78" s="14">
        <f>SUM(E73:E77)</f>
        <v>71</v>
      </c>
      <c r="F78" s="14">
        <f aca="true" t="shared" si="10" ref="F78:P78">SUM(F73:F77)</f>
        <v>33</v>
      </c>
      <c r="G78" s="14">
        <f t="shared" si="10"/>
        <v>0</v>
      </c>
      <c r="H78" s="14">
        <f t="shared" si="10"/>
        <v>0</v>
      </c>
      <c r="I78" s="14">
        <f t="shared" si="10"/>
        <v>0</v>
      </c>
      <c r="J78" s="14">
        <f t="shared" si="10"/>
        <v>0</v>
      </c>
      <c r="K78" s="14">
        <f t="shared" si="10"/>
        <v>0</v>
      </c>
      <c r="L78" s="14">
        <f t="shared" si="10"/>
        <v>0</v>
      </c>
      <c r="M78" s="14">
        <f t="shared" si="10"/>
        <v>0</v>
      </c>
      <c r="N78" s="14">
        <f t="shared" si="10"/>
        <v>0</v>
      </c>
      <c r="O78" s="14">
        <f t="shared" si="10"/>
        <v>0</v>
      </c>
      <c r="P78" s="14">
        <f t="shared" si="10"/>
        <v>0</v>
      </c>
      <c r="Q78" s="14">
        <f>SUM(Q73:Q77)</f>
        <v>104</v>
      </c>
      <c r="R78" s="288">
        <f>5926/4</f>
        <v>1481.5</v>
      </c>
      <c r="S78" s="289"/>
    </row>
    <row r="79" spans="1:17" ht="15" thickBot="1">
      <c r="A79" s="110" t="s">
        <v>142</v>
      </c>
      <c r="B79" s="103" t="s">
        <v>132</v>
      </c>
      <c r="C79" s="63"/>
      <c r="D79" s="91"/>
      <c r="E79" s="121">
        <v>34</v>
      </c>
      <c r="F79" s="121">
        <v>19</v>
      </c>
      <c r="G79" s="121"/>
      <c r="H79" s="121"/>
      <c r="I79" s="121"/>
      <c r="J79" s="121"/>
      <c r="K79" s="121"/>
      <c r="L79" s="121"/>
      <c r="M79" s="121"/>
      <c r="N79" s="121"/>
      <c r="O79" s="121"/>
      <c r="Q79" s="17">
        <f aca="true" t="shared" si="11" ref="Q79:Q88">SUM(E79:P79)</f>
        <v>53</v>
      </c>
    </row>
    <row r="80" spans="1:17" ht="15" thickBot="1">
      <c r="A80" s="110" t="s">
        <v>142</v>
      </c>
      <c r="B80" s="103" t="s">
        <v>133</v>
      </c>
      <c r="C80" s="63"/>
      <c r="D80" s="91"/>
      <c r="E80" s="121">
        <v>4</v>
      </c>
      <c r="F80" s="121">
        <v>7</v>
      </c>
      <c r="G80" s="121"/>
      <c r="H80" s="121"/>
      <c r="I80" s="121"/>
      <c r="J80" s="121"/>
      <c r="K80" s="121"/>
      <c r="L80" s="121"/>
      <c r="M80" s="121"/>
      <c r="N80" s="121"/>
      <c r="O80" s="121"/>
      <c r="Q80" s="17">
        <f t="shared" si="11"/>
        <v>11</v>
      </c>
    </row>
    <row r="81" spans="1:17" ht="15" thickBot="1">
      <c r="A81" s="110" t="s">
        <v>142</v>
      </c>
      <c r="B81" s="103" t="s">
        <v>134</v>
      </c>
      <c r="C81" s="63"/>
      <c r="D81" s="91"/>
      <c r="E81" s="121">
        <v>2</v>
      </c>
      <c r="F81" s="121">
        <v>6</v>
      </c>
      <c r="G81" s="121"/>
      <c r="H81" s="121"/>
      <c r="I81" s="121"/>
      <c r="J81" s="121"/>
      <c r="K81" s="121"/>
      <c r="L81" s="121"/>
      <c r="M81" s="121"/>
      <c r="N81" s="121"/>
      <c r="O81" s="121"/>
      <c r="Q81" s="17">
        <f t="shared" si="11"/>
        <v>8</v>
      </c>
    </row>
    <row r="82" spans="1:17" ht="15" thickBot="1">
      <c r="A82" s="110" t="s">
        <v>142</v>
      </c>
      <c r="B82" s="103" t="s">
        <v>135</v>
      </c>
      <c r="C82" s="63"/>
      <c r="D82" s="91"/>
      <c r="E82" s="121">
        <v>4</v>
      </c>
      <c r="F82" s="121">
        <v>3</v>
      </c>
      <c r="G82" s="121"/>
      <c r="H82" s="121"/>
      <c r="I82" s="121"/>
      <c r="J82" s="121"/>
      <c r="K82" s="121"/>
      <c r="L82" s="121"/>
      <c r="M82" s="121"/>
      <c r="N82" s="121"/>
      <c r="O82" s="121"/>
      <c r="Q82" s="17">
        <f t="shared" si="11"/>
        <v>7</v>
      </c>
    </row>
    <row r="83" spans="1:17" ht="15" thickBot="1">
      <c r="A83" s="110" t="s">
        <v>142</v>
      </c>
      <c r="B83" s="103" t="s">
        <v>136</v>
      </c>
      <c r="C83" s="63"/>
      <c r="D83" s="91"/>
      <c r="E83" s="121">
        <v>7</v>
      </c>
      <c r="F83" s="121">
        <v>46</v>
      </c>
      <c r="G83" s="121"/>
      <c r="H83" s="121"/>
      <c r="I83" s="121"/>
      <c r="J83" s="121"/>
      <c r="K83" s="121"/>
      <c r="L83" s="121"/>
      <c r="M83" s="121"/>
      <c r="N83" s="121"/>
      <c r="O83" s="121"/>
      <c r="Q83" s="17">
        <f t="shared" si="11"/>
        <v>53</v>
      </c>
    </row>
    <row r="84" spans="1:17" ht="15" thickBot="1">
      <c r="A84" s="110" t="s">
        <v>142</v>
      </c>
      <c r="B84" s="103" t="s">
        <v>137</v>
      </c>
      <c r="C84" s="63"/>
      <c r="D84" s="91"/>
      <c r="E84" s="121">
        <v>2</v>
      </c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Q84" s="17">
        <f t="shared" si="11"/>
        <v>2</v>
      </c>
    </row>
    <row r="85" spans="1:17" ht="15" thickBot="1">
      <c r="A85" s="110" t="s">
        <v>142</v>
      </c>
      <c r="B85" s="103" t="s">
        <v>138</v>
      </c>
      <c r="C85" s="63"/>
      <c r="D85" s="91"/>
      <c r="E85" s="121"/>
      <c r="F85" s="121">
        <v>2</v>
      </c>
      <c r="G85" s="121"/>
      <c r="H85" s="121"/>
      <c r="I85" s="121"/>
      <c r="J85" s="121"/>
      <c r="K85" s="121"/>
      <c r="L85" s="121"/>
      <c r="M85" s="121"/>
      <c r="N85" s="121"/>
      <c r="O85" s="121"/>
      <c r="Q85" s="17">
        <f t="shared" si="11"/>
        <v>2</v>
      </c>
    </row>
    <row r="86" spans="1:17" ht="15" thickBot="1">
      <c r="A86" s="110" t="s">
        <v>142</v>
      </c>
      <c r="B86" s="103" t="s">
        <v>139</v>
      </c>
      <c r="C86" s="63"/>
      <c r="D86" s="91"/>
      <c r="E86" s="121">
        <v>7</v>
      </c>
      <c r="F86" s="121">
        <v>5</v>
      </c>
      <c r="G86" s="121"/>
      <c r="H86" s="121"/>
      <c r="I86" s="121"/>
      <c r="J86" s="121"/>
      <c r="K86" s="121"/>
      <c r="L86" s="121"/>
      <c r="M86" s="121"/>
      <c r="N86" s="121"/>
      <c r="O86" s="121"/>
      <c r="Q86" s="17">
        <f t="shared" si="11"/>
        <v>12</v>
      </c>
    </row>
    <row r="87" spans="1:17" ht="15" thickBot="1">
      <c r="A87" s="110" t="s">
        <v>142</v>
      </c>
      <c r="B87" s="103" t="s">
        <v>140</v>
      </c>
      <c r="C87" s="63"/>
      <c r="D87" s="91"/>
      <c r="E87" s="121">
        <v>4</v>
      </c>
      <c r="F87" s="121">
        <v>8</v>
      </c>
      <c r="G87" s="121"/>
      <c r="H87" s="121"/>
      <c r="I87" s="121"/>
      <c r="J87" s="121"/>
      <c r="K87" s="121"/>
      <c r="L87" s="121"/>
      <c r="M87" s="121"/>
      <c r="N87" s="121"/>
      <c r="O87" s="121"/>
      <c r="Q87" s="17">
        <f t="shared" si="11"/>
        <v>12</v>
      </c>
    </row>
    <row r="88" spans="1:17" ht="15" thickBot="1">
      <c r="A88" s="110" t="s">
        <v>142</v>
      </c>
      <c r="B88" s="103" t="s">
        <v>141</v>
      </c>
      <c r="C88" s="63"/>
      <c r="D88" s="91"/>
      <c r="E88" s="121"/>
      <c r="F88" s="121">
        <v>12</v>
      </c>
      <c r="G88" s="121"/>
      <c r="H88" s="121"/>
      <c r="I88" s="121"/>
      <c r="J88" s="121"/>
      <c r="K88" s="121"/>
      <c r="L88" s="121"/>
      <c r="M88" s="121"/>
      <c r="N88" s="121"/>
      <c r="O88" s="121"/>
      <c r="Q88" s="17">
        <f t="shared" si="11"/>
        <v>12</v>
      </c>
    </row>
    <row r="89" spans="1:19" s="65" customFormat="1" ht="15" thickBot="1">
      <c r="A89" s="196" t="s">
        <v>205</v>
      </c>
      <c r="B89" s="197"/>
      <c r="C89" s="45">
        <f>+D89/Metas!P36</f>
        <v>1.7334515842941225</v>
      </c>
      <c r="D89" s="20">
        <f>+Q89/R89</f>
        <v>0.05547045069741192</v>
      </c>
      <c r="E89" s="14">
        <f>SUM(E79:E88)</f>
        <v>64</v>
      </c>
      <c r="F89" s="14">
        <f aca="true" t="shared" si="12" ref="F89:P89">SUM(F79:F88)</f>
        <v>108</v>
      </c>
      <c r="G89" s="14">
        <f t="shared" si="12"/>
        <v>0</v>
      </c>
      <c r="H89" s="14">
        <f t="shared" si="12"/>
        <v>0</v>
      </c>
      <c r="I89" s="14">
        <f t="shared" si="12"/>
        <v>0</v>
      </c>
      <c r="J89" s="14">
        <f t="shared" si="12"/>
        <v>0</v>
      </c>
      <c r="K89" s="14">
        <f t="shared" si="12"/>
        <v>0</v>
      </c>
      <c r="L89" s="14">
        <f t="shared" si="12"/>
        <v>0</v>
      </c>
      <c r="M89" s="14">
        <f t="shared" si="12"/>
        <v>0</v>
      </c>
      <c r="N89" s="14">
        <f t="shared" si="12"/>
        <v>0</v>
      </c>
      <c r="O89" s="14">
        <f t="shared" si="12"/>
        <v>0</v>
      </c>
      <c r="P89" s="14">
        <f t="shared" si="12"/>
        <v>0</v>
      </c>
      <c r="Q89" s="14">
        <f>SUM(Q79:Q88)</f>
        <v>172</v>
      </c>
      <c r="R89" s="288">
        <f>12403/4</f>
        <v>3100.75</v>
      </c>
      <c r="S89" s="289"/>
    </row>
    <row r="90" spans="1:17" ht="15" thickBot="1">
      <c r="A90" s="110" t="s">
        <v>159</v>
      </c>
      <c r="B90" s="103" t="s">
        <v>143</v>
      </c>
      <c r="C90" s="63"/>
      <c r="D90" s="91"/>
      <c r="E90" s="121">
        <v>29</v>
      </c>
      <c r="F90" s="121">
        <v>48</v>
      </c>
      <c r="G90" s="121"/>
      <c r="H90" s="121"/>
      <c r="I90" s="121"/>
      <c r="J90" s="121"/>
      <c r="K90" s="121"/>
      <c r="L90" s="121"/>
      <c r="M90" s="121"/>
      <c r="N90" s="121"/>
      <c r="O90" s="121"/>
      <c r="Q90" s="17">
        <f aca="true" t="shared" si="13" ref="Q90:Q105">SUM(E90:P90)</f>
        <v>77</v>
      </c>
    </row>
    <row r="91" spans="1:17" ht="15" thickBot="1">
      <c r="A91" s="110" t="s">
        <v>159</v>
      </c>
      <c r="B91" s="103" t="s">
        <v>144</v>
      </c>
      <c r="C91" s="63"/>
      <c r="D91" s="91"/>
      <c r="E91" s="121">
        <v>95</v>
      </c>
      <c r="F91" s="121">
        <v>107</v>
      </c>
      <c r="G91" s="121"/>
      <c r="H91" s="121"/>
      <c r="I91" s="121"/>
      <c r="J91" s="121"/>
      <c r="K91" s="121"/>
      <c r="L91" s="121"/>
      <c r="M91" s="121"/>
      <c r="N91" s="121"/>
      <c r="O91" s="121"/>
      <c r="Q91" s="17">
        <f t="shared" si="13"/>
        <v>202</v>
      </c>
    </row>
    <row r="92" spans="1:17" ht="15" thickBot="1">
      <c r="A92" s="110" t="s">
        <v>159</v>
      </c>
      <c r="B92" s="103" t="s">
        <v>145</v>
      </c>
      <c r="C92" s="63"/>
      <c r="D92" s="91"/>
      <c r="E92" s="121">
        <v>58</v>
      </c>
      <c r="F92" s="121">
        <v>56</v>
      </c>
      <c r="G92" s="121"/>
      <c r="H92" s="121"/>
      <c r="I92" s="121"/>
      <c r="J92" s="121"/>
      <c r="K92" s="121"/>
      <c r="L92" s="121"/>
      <c r="M92" s="121"/>
      <c r="N92" s="121"/>
      <c r="O92" s="121"/>
      <c r="Q92" s="17">
        <f t="shared" si="13"/>
        <v>114</v>
      </c>
    </row>
    <row r="93" spans="1:17" ht="15" thickBot="1">
      <c r="A93" s="110" t="s">
        <v>159</v>
      </c>
      <c r="B93" s="103" t="s">
        <v>146</v>
      </c>
      <c r="C93" s="63"/>
      <c r="D93" s="91"/>
      <c r="E93" s="121">
        <v>24</v>
      </c>
      <c r="F93" s="121">
        <v>26</v>
      </c>
      <c r="G93" s="121"/>
      <c r="H93" s="121"/>
      <c r="I93" s="121"/>
      <c r="J93" s="121"/>
      <c r="K93" s="121"/>
      <c r="L93" s="121"/>
      <c r="M93" s="121"/>
      <c r="N93" s="121"/>
      <c r="O93" s="121"/>
      <c r="Q93" s="17">
        <f t="shared" si="13"/>
        <v>50</v>
      </c>
    </row>
    <row r="94" spans="1:17" ht="15" thickBot="1">
      <c r="A94" s="110" t="s">
        <v>159</v>
      </c>
      <c r="B94" s="103" t="s">
        <v>147</v>
      </c>
      <c r="C94" s="63"/>
      <c r="D94" s="9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Q94" s="17">
        <f t="shared" si="13"/>
        <v>0</v>
      </c>
    </row>
    <row r="95" spans="1:17" ht="15" thickBot="1">
      <c r="A95" s="110" t="s">
        <v>159</v>
      </c>
      <c r="B95" s="103" t="s">
        <v>148</v>
      </c>
      <c r="C95" s="63"/>
      <c r="D95" s="91"/>
      <c r="E95" s="121">
        <v>3</v>
      </c>
      <c r="F95" s="121">
        <v>2</v>
      </c>
      <c r="G95" s="121"/>
      <c r="H95" s="121"/>
      <c r="I95" s="121"/>
      <c r="J95" s="121"/>
      <c r="K95" s="121"/>
      <c r="L95" s="121"/>
      <c r="M95" s="121"/>
      <c r="N95" s="121"/>
      <c r="O95" s="121"/>
      <c r="Q95" s="17">
        <f t="shared" si="13"/>
        <v>5</v>
      </c>
    </row>
    <row r="96" spans="1:17" ht="15" thickBot="1">
      <c r="A96" s="110" t="s">
        <v>159</v>
      </c>
      <c r="B96" s="103" t="s">
        <v>149</v>
      </c>
      <c r="C96" s="63"/>
      <c r="D96" s="91"/>
      <c r="E96" s="121">
        <v>8</v>
      </c>
      <c r="F96" s="121">
        <v>4</v>
      </c>
      <c r="G96" s="121"/>
      <c r="H96" s="121"/>
      <c r="I96" s="121"/>
      <c r="J96" s="121"/>
      <c r="K96" s="121"/>
      <c r="L96" s="121"/>
      <c r="M96" s="121"/>
      <c r="N96" s="121"/>
      <c r="O96" s="121"/>
      <c r="Q96" s="17">
        <f t="shared" si="13"/>
        <v>12</v>
      </c>
    </row>
    <row r="97" spans="1:17" ht="15" thickBot="1">
      <c r="A97" s="110" t="s">
        <v>159</v>
      </c>
      <c r="B97" s="103" t="s">
        <v>150</v>
      </c>
      <c r="C97" s="63"/>
      <c r="D97" s="91"/>
      <c r="E97" s="121"/>
      <c r="F97" s="121">
        <v>2</v>
      </c>
      <c r="G97" s="121"/>
      <c r="H97" s="121"/>
      <c r="I97" s="121"/>
      <c r="J97" s="121"/>
      <c r="K97" s="121"/>
      <c r="L97" s="121"/>
      <c r="M97" s="121"/>
      <c r="N97" s="121"/>
      <c r="O97" s="121"/>
      <c r="Q97" s="17">
        <f t="shared" si="13"/>
        <v>2</v>
      </c>
    </row>
    <row r="98" spans="1:17" ht="15" thickBot="1">
      <c r="A98" s="110" t="s">
        <v>159</v>
      </c>
      <c r="B98" s="103" t="s">
        <v>151</v>
      </c>
      <c r="C98" s="63"/>
      <c r="D98" s="91"/>
      <c r="E98" s="121">
        <v>9</v>
      </c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Q98" s="17">
        <f t="shared" si="13"/>
        <v>9</v>
      </c>
    </row>
    <row r="99" spans="1:17" ht="15" thickBot="1">
      <c r="A99" s="110" t="s">
        <v>159</v>
      </c>
      <c r="B99" s="103" t="s">
        <v>152</v>
      </c>
      <c r="C99" s="63"/>
      <c r="D99" s="9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Q99" s="17">
        <f t="shared" si="13"/>
        <v>0</v>
      </c>
    </row>
    <row r="100" spans="1:17" ht="15" thickBot="1">
      <c r="A100" s="110" t="s">
        <v>159</v>
      </c>
      <c r="B100" s="103" t="s">
        <v>153</v>
      </c>
      <c r="C100" s="63"/>
      <c r="D100" s="9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Q100" s="17">
        <f t="shared" si="13"/>
        <v>0</v>
      </c>
    </row>
    <row r="101" spans="1:17" ht="15" thickBot="1">
      <c r="A101" s="110" t="s">
        <v>159</v>
      </c>
      <c r="B101" s="103" t="s">
        <v>154</v>
      </c>
      <c r="C101" s="63"/>
      <c r="D101" s="91"/>
      <c r="E101" s="121">
        <v>5</v>
      </c>
      <c r="F101" s="121">
        <v>1</v>
      </c>
      <c r="G101" s="121"/>
      <c r="H101" s="121"/>
      <c r="I101" s="121"/>
      <c r="J101" s="121"/>
      <c r="K101" s="121"/>
      <c r="L101" s="121"/>
      <c r="M101" s="121"/>
      <c r="N101" s="121"/>
      <c r="O101" s="121"/>
      <c r="Q101" s="17">
        <f t="shared" si="13"/>
        <v>6</v>
      </c>
    </row>
    <row r="102" spans="1:21" ht="15" thickBot="1">
      <c r="A102" s="110" t="s">
        <v>159</v>
      </c>
      <c r="B102" s="103" t="s">
        <v>155</v>
      </c>
      <c r="C102" s="63"/>
      <c r="D102" s="91"/>
      <c r="E102" s="121">
        <v>2</v>
      </c>
      <c r="F102" s="121">
        <v>1</v>
      </c>
      <c r="G102" s="121"/>
      <c r="H102" s="121"/>
      <c r="I102" s="121"/>
      <c r="J102" s="121"/>
      <c r="K102" s="121"/>
      <c r="L102" s="121"/>
      <c r="M102" s="121"/>
      <c r="N102" s="121"/>
      <c r="O102" s="121"/>
      <c r="Q102" s="17">
        <f t="shared" si="13"/>
        <v>3</v>
      </c>
      <c r="U102" s="69"/>
    </row>
    <row r="103" spans="1:17" ht="15" thickBot="1">
      <c r="A103" s="110" t="s">
        <v>159</v>
      </c>
      <c r="B103" s="103" t="s">
        <v>156</v>
      </c>
      <c r="C103" s="63"/>
      <c r="D103" s="91"/>
      <c r="E103" s="121">
        <v>11</v>
      </c>
      <c r="F103" s="121">
        <v>4</v>
      </c>
      <c r="G103" s="121"/>
      <c r="H103" s="121"/>
      <c r="I103" s="121"/>
      <c r="J103" s="121"/>
      <c r="K103" s="121"/>
      <c r="L103" s="121"/>
      <c r="M103" s="121"/>
      <c r="N103" s="121"/>
      <c r="O103" s="121"/>
      <c r="Q103" s="17">
        <f t="shared" si="13"/>
        <v>15</v>
      </c>
    </row>
    <row r="104" spans="1:17" ht="15" thickBot="1">
      <c r="A104" s="110" t="s">
        <v>159</v>
      </c>
      <c r="B104" s="103" t="s">
        <v>157</v>
      </c>
      <c r="C104" s="63"/>
      <c r="D104" s="91"/>
      <c r="E104" s="121">
        <v>60</v>
      </c>
      <c r="F104" s="121">
        <v>51</v>
      </c>
      <c r="G104" s="121"/>
      <c r="H104" s="121"/>
      <c r="I104" s="121"/>
      <c r="J104" s="121"/>
      <c r="K104" s="121"/>
      <c r="L104" s="121"/>
      <c r="M104" s="121"/>
      <c r="N104" s="121"/>
      <c r="O104" s="121"/>
      <c r="Q104" s="17">
        <f t="shared" si="13"/>
        <v>111</v>
      </c>
    </row>
    <row r="105" spans="1:17" ht="15" thickBot="1">
      <c r="A105" s="110" t="s">
        <v>159</v>
      </c>
      <c r="B105" s="103" t="s">
        <v>158</v>
      </c>
      <c r="C105" s="63"/>
      <c r="D105" s="91"/>
      <c r="E105" s="121">
        <v>32</v>
      </c>
      <c r="F105" s="121">
        <v>21</v>
      </c>
      <c r="G105" s="121"/>
      <c r="H105" s="121"/>
      <c r="I105" s="121"/>
      <c r="J105" s="121"/>
      <c r="K105" s="121"/>
      <c r="L105" s="121"/>
      <c r="M105" s="121"/>
      <c r="N105" s="121"/>
      <c r="O105" s="121"/>
      <c r="Q105" s="17">
        <f t="shared" si="13"/>
        <v>53</v>
      </c>
    </row>
    <row r="106" spans="1:19" s="65" customFormat="1" ht="15" thickBot="1">
      <c r="A106" s="196" t="s">
        <v>206</v>
      </c>
      <c r="B106" s="197"/>
      <c r="C106" s="45">
        <f>+D106/Metas!P33</f>
        <v>1.1657398091742306</v>
      </c>
      <c r="D106" s="20">
        <f>+Q106/R106</f>
        <v>0.02914349522935577</v>
      </c>
      <c r="E106" s="14">
        <f>SUM(E90:E105)</f>
        <v>336</v>
      </c>
      <c r="F106" s="14">
        <f aca="true" t="shared" si="14" ref="F106:P106">SUM(F90:F105)</f>
        <v>323</v>
      </c>
      <c r="G106" s="14">
        <f t="shared" si="14"/>
        <v>0</v>
      </c>
      <c r="H106" s="14">
        <f t="shared" si="14"/>
        <v>0</v>
      </c>
      <c r="I106" s="14">
        <f t="shared" si="14"/>
        <v>0</v>
      </c>
      <c r="J106" s="14">
        <f t="shared" si="14"/>
        <v>0</v>
      </c>
      <c r="K106" s="14">
        <f t="shared" si="14"/>
        <v>0</v>
      </c>
      <c r="L106" s="14">
        <f t="shared" si="14"/>
        <v>0</v>
      </c>
      <c r="M106" s="14">
        <f t="shared" si="14"/>
        <v>0</v>
      </c>
      <c r="N106" s="14">
        <f t="shared" si="14"/>
        <v>0</v>
      </c>
      <c r="O106" s="14">
        <f t="shared" si="14"/>
        <v>0</v>
      </c>
      <c r="P106" s="14">
        <f t="shared" si="14"/>
        <v>0</v>
      </c>
      <c r="Q106" s="14">
        <f>SUM(Q90:Q105)</f>
        <v>659</v>
      </c>
      <c r="R106" s="288">
        <f>90449/4</f>
        <v>22612.25</v>
      </c>
      <c r="S106" s="289"/>
    </row>
    <row r="107" spans="1:17" ht="15" thickBot="1">
      <c r="A107" s="110" t="s">
        <v>172</v>
      </c>
      <c r="B107" s="103" t="s">
        <v>160</v>
      </c>
      <c r="C107" s="63"/>
      <c r="D107" s="91"/>
      <c r="E107" s="121">
        <v>3</v>
      </c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Q107" s="17">
        <f aca="true" t="shared" si="15" ref="Q107:Q118">SUM(E107:P107)</f>
        <v>3</v>
      </c>
    </row>
    <row r="108" spans="1:17" ht="15" thickBot="1">
      <c r="A108" s="110" t="s">
        <v>172</v>
      </c>
      <c r="B108" s="103" t="s">
        <v>161</v>
      </c>
      <c r="C108" s="63"/>
      <c r="D108" s="91"/>
      <c r="E108" s="121">
        <v>14</v>
      </c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Q108" s="17">
        <f t="shared" si="15"/>
        <v>14</v>
      </c>
    </row>
    <row r="109" spans="1:17" ht="15" thickBot="1">
      <c r="A109" s="110" t="s">
        <v>172</v>
      </c>
      <c r="B109" s="103" t="s">
        <v>162</v>
      </c>
      <c r="C109" s="63"/>
      <c r="D109" s="91"/>
      <c r="E109" s="121">
        <v>19</v>
      </c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Q109" s="17">
        <f t="shared" si="15"/>
        <v>19</v>
      </c>
    </row>
    <row r="110" spans="1:17" ht="15" thickBot="1">
      <c r="A110" s="110" t="s">
        <v>172</v>
      </c>
      <c r="B110" s="103" t="s">
        <v>163</v>
      </c>
      <c r="C110" s="63"/>
      <c r="D110" s="91"/>
      <c r="E110" s="121">
        <v>4</v>
      </c>
      <c r="F110" s="121">
        <v>1</v>
      </c>
      <c r="G110" s="121"/>
      <c r="H110" s="121"/>
      <c r="I110" s="121"/>
      <c r="J110" s="121"/>
      <c r="K110" s="121"/>
      <c r="L110" s="121"/>
      <c r="M110" s="121"/>
      <c r="N110" s="121"/>
      <c r="O110" s="121"/>
      <c r="Q110" s="17">
        <f t="shared" si="15"/>
        <v>5</v>
      </c>
    </row>
    <row r="111" spans="1:17" ht="15" thickBot="1">
      <c r="A111" s="110" t="s">
        <v>172</v>
      </c>
      <c r="B111" s="103" t="s">
        <v>164</v>
      </c>
      <c r="C111" s="63"/>
      <c r="D111" s="91"/>
      <c r="E111" s="121">
        <v>6</v>
      </c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Q111" s="17">
        <f t="shared" si="15"/>
        <v>6</v>
      </c>
    </row>
    <row r="112" spans="1:17" ht="15" thickBot="1">
      <c r="A112" s="110" t="s">
        <v>172</v>
      </c>
      <c r="B112" s="103" t="s">
        <v>165</v>
      </c>
      <c r="C112" s="63"/>
      <c r="D112" s="91"/>
      <c r="E112" s="121">
        <v>8</v>
      </c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Q112" s="17">
        <f t="shared" si="15"/>
        <v>8</v>
      </c>
    </row>
    <row r="113" spans="1:17" ht="15" thickBot="1">
      <c r="A113" s="110" t="s">
        <v>172</v>
      </c>
      <c r="B113" s="103" t="s">
        <v>166</v>
      </c>
      <c r="C113" s="63"/>
      <c r="D113" s="91"/>
      <c r="E113" s="121">
        <v>1</v>
      </c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Q113" s="17">
        <f t="shared" si="15"/>
        <v>1</v>
      </c>
    </row>
    <row r="114" spans="1:17" ht="15" thickBot="1">
      <c r="A114" s="110" t="s">
        <v>172</v>
      </c>
      <c r="B114" s="103" t="s">
        <v>167</v>
      </c>
      <c r="C114" s="63"/>
      <c r="D114" s="91"/>
      <c r="E114" s="121">
        <v>5</v>
      </c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Q114" s="17">
        <f t="shared" si="15"/>
        <v>5</v>
      </c>
    </row>
    <row r="115" spans="1:17" ht="15" thickBot="1">
      <c r="A115" s="110" t="s">
        <v>172</v>
      </c>
      <c r="B115" s="103" t="s">
        <v>168</v>
      </c>
      <c r="C115" s="63"/>
      <c r="D115" s="91"/>
      <c r="E115" s="121">
        <v>6</v>
      </c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Q115" s="17">
        <f t="shared" si="15"/>
        <v>6</v>
      </c>
    </row>
    <row r="116" spans="1:17" ht="15" thickBot="1">
      <c r="A116" s="110" t="s">
        <v>172</v>
      </c>
      <c r="B116" s="103" t="s">
        <v>169</v>
      </c>
      <c r="C116" s="63"/>
      <c r="D116" s="91"/>
      <c r="E116" s="121">
        <v>10</v>
      </c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Q116" s="17">
        <f t="shared" si="15"/>
        <v>10</v>
      </c>
    </row>
    <row r="117" spans="1:17" ht="15" thickBot="1">
      <c r="A117" s="110" t="s">
        <v>172</v>
      </c>
      <c r="B117" s="103" t="s">
        <v>170</v>
      </c>
      <c r="C117" s="63"/>
      <c r="D117" s="91"/>
      <c r="E117" s="121">
        <v>5</v>
      </c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Q117" s="17">
        <f t="shared" si="15"/>
        <v>5</v>
      </c>
    </row>
    <row r="118" spans="1:17" ht="15" thickBot="1">
      <c r="A118" s="110" t="s">
        <v>172</v>
      </c>
      <c r="B118" s="103" t="s">
        <v>171</v>
      </c>
      <c r="C118" s="63"/>
      <c r="D118" s="9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Q118" s="17">
        <f t="shared" si="15"/>
        <v>0</v>
      </c>
    </row>
    <row r="119" spans="1:19" s="65" customFormat="1" ht="15" thickBot="1">
      <c r="A119" s="196" t="s">
        <v>207</v>
      </c>
      <c r="B119" s="197"/>
      <c r="C119" s="45">
        <f>+D119/Metas!P27</f>
        <v>0.898197033759064</v>
      </c>
      <c r="D119" s="20">
        <f>+Q119/R119</f>
        <v>0.05029903389050759</v>
      </c>
      <c r="E119" s="14">
        <f>SUM(E107:E118)</f>
        <v>81</v>
      </c>
      <c r="F119" s="14">
        <f aca="true" t="shared" si="16" ref="F119:P119">SUM(F107:F118)</f>
        <v>1</v>
      </c>
      <c r="G119" s="14">
        <f t="shared" si="16"/>
        <v>0</v>
      </c>
      <c r="H119" s="14">
        <f t="shared" si="16"/>
        <v>0</v>
      </c>
      <c r="I119" s="14">
        <f t="shared" si="16"/>
        <v>0</v>
      </c>
      <c r="J119" s="14">
        <f t="shared" si="16"/>
        <v>0</v>
      </c>
      <c r="K119" s="14">
        <f t="shared" si="16"/>
        <v>0</v>
      </c>
      <c r="L119" s="14">
        <f t="shared" si="16"/>
        <v>0</v>
      </c>
      <c r="M119" s="14">
        <f t="shared" si="16"/>
        <v>0</v>
      </c>
      <c r="N119" s="14">
        <f t="shared" si="16"/>
        <v>0</v>
      </c>
      <c r="O119" s="14">
        <f t="shared" si="16"/>
        <v>0</v>
      </c>
      <c r="P119" s="14">
        <f t="shared" si="16"/>
        <v>0</v>
      </c>
      <c r="Q119" s="14">
        <f>SUM(Q107:Q118)</f>
        <v>82</v>
      </c>
      <c r="R119" s="288">
        <f>6521/4</f>
        <v>1630.25</v>
      </c>
      <c r="S119" s="289"/>
    </row>
    <row r="120" spans="1:17" ht="15" thickBot="1">
      <c r="A120" s="110" t="s">
        <v>186</v>
      </c>
      <c r="B120" s="103" t="s">
        <v>173</v>
      </c>
      <c r="C120" s="63"/>
      <c r="D120" s="91"/>
      <c r="E120" s="121">
        <v>9</v>
      </c>
      <c r="F120" s="121">
        <v>39</v>
      </c>
      <c r="G120" s="121"/>
      <c r="H120" s="121"/>
      <c r="I120" s="121"/>
      <c r="J120" s="121"/>
      <c r="K120" s="121"/>
      <c r="L120" s="121"/>
      <c r="M120" s="121"/>
      <c r="N120" s="121"/>
      <c r="O120" s="121"/>
      <c r="Q120" s="17">
        <f aca="true" t="shared" si="17" ref="Q120:Q132">SUM(E120:P120)</f>
        <v>48</v>
      </c>
    </row>
    <row r="121" spans="1:17" ht="15" thickBot="1">
      <c r="A121" s="110" t="s">
        <v>186</v>
      </c>
      <c r="B121" s="103" t="s">
        <v>174</v>
      </c>
      <c r="C121" s="63"/>
      <c r="D121" s="91"/>
      <c r="E121" s="121">
        <v>10</v>
      </c>
      <c r="F121" s="121">
        <v>13</v>
      </c>
      <c r="G121" s="121"/>
      <c r="H121" s="121"/>
      <c r="I121" s="121"/>
      <c r="J121" s="121"/>
      <c r="K121" s="121"/>
      <c r="L121" s="121"/>
      <c r="M121" s="121"/>
      <c r="N121" s="121"/>
      <c r="O121" s="121"/>
      <c r="Q121" s="17">
        <f t="shared" si="17"/>
        <v>23</v>
      </c>
    </row>
    <row r="122" spans="1:17" ht="15" thickBot="1">
      <c r="A122" s="110" t="s">
        <v>186</v>
      </c>
      <c r="B122" s="103" t="s">
        <v>175</v>
      </c>
      <c r="C122" s="63"/>
      <c r="D122" s="91"/>
      <c r="E122" s="121">
        <v>17</v>
      </c>
      <c r="F122" s="121">
        <v>28</v>
      </c>
      <c r="G122" s="121"/>
      <c r="H122" s="121"/>
      <c r="I122" s="121"/>
      <c r="J122" s="121"/>
      <c r="K122" s="121"/>
      <c r="L122" s="121"/>
      <c r="M122" s="121"/>
      <c r="N122" s="121"/>
      <c r="O122" s="121"/>
      <c r="Q122" s="17">
        <f t="shared" si="17"/>
        <v>45</v>
      </c>
    </row>
    <row r="123" spans="1:17" ht="15" thickBot="1">
      <c r="A123" s="110" t="s">
        <v>186</v>
      </c>
      <c r="B123" s="103" t="s">
        <v>176</v>
      </c>
      <c r="C123" s="63"/>
      <c r="D123" s="91"/>
      <c r="E123" s="121">
        <v>51</v>
      </c>
      <c r="F123" s="121">
        <v>89</v>
      </c>
      <c r="G123" s="121"/>
      <c r="H123" s="121"/>
      <c r="I123" s="121"/>
      <c r="J123" s="121"/>
      <c r="K123" s="121"/>
      <c r="L123" s="121"/>
      <c r="M123" s="121"/>
      <c r="N123" s="121"/>
      <c r="O123" s="121"/>
      <c r="Q123" s="17">
        <f t="shared" si="17"/>
        <v>140</v>
      </c>
    </row>
    <row r="124" spans="1:17" ht="15" thickBot="1">
      <c r="A124" s="110" t="s">
        <v>186</v>
      </c>
      <c r="B124" s="103" t="s">
        <v>177</v>
      </c>
      <c r="C124" s="63"/>
      <c r="D124" s="91"/>
      <c r="E124" s="121">
        <v>4</v>
      </c>
      <c r="F124" s="121">
        <v>6</v>
      </c>
      <c r="G124" s="121"/>
      <c r="H124" s="121"/>
      <c r="I124" s="121"/>
      <c r="J124" s="121"/>
      <c r="K124" s="121"/>
      <c r="L124" s="121"/>
      <c r="M124" s="121"/>
      <c r="N124" s="121"/>
      <c r="O124" s="121"/>
      <c r="Q124" s="17">
        <f t="shared" si="17"/>
        <v>10</v>
      </c>
    </row>
    <row r="125" spans="1:17" ht="15" thickBot="1">
      <c r="A125" s="110" t="s">
        <v>186</v>
      </c>
      <c r="B125" s="103" t="s">
        <v>178</v>
      </c>
      <c r="C125" s="63"/>
      <c r="D125" s="91"/>
      <c r="E125" s="121">
        <v>1</v>
      </c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Q125" s="17">
        <f t="shared" si="17"/>
        <v>1</v>
      </c>
    </row>
    <row r="126" spans="1:17" ht="15" thickBot="1">
      <c r="A126" s="110" t="s">
        <v>186</v>
      </c>
      <c r="B126" s="103" t="s">
        <v>179</v>
      </c>
      <c r="C126" s="63"/>
      <c r="D126" s="91"/>
      <c r="E126" s="121">
        <v>1</v>
      </c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Q126" s="17">
        <f t="shared" si="17"/>
        <v>1</v>
      </c>
    </row>
    <row r="127" spans="1:22" ht="15" thickBot="1">
      <c r="A127" s="110" t="s">
        <v>186</v>
      </c>
      <c r="B127" s="103" t="s">
        <v>180</v>
      </c>
      <c r="C127" s="63"/>
      <c r="D127" s="91"/>
      <c r="E127" s="121">
        <v>4</v>
      </c>
      <c r="F127" s="121">
        <v>6</v>
      </c>
      <c r="G127" s="121"/>
      <c r="H127" s="121"/>
      <c r="I127" s="121"/>
      <c r="J127" s="121"/>
      <c r="K127" s="121"/>
      <c r="L127" s="121"/>
      <c r="M127" s="121"/>
      <c r="N127" s="121"/>
      <c r="O127" s="121"/>
      <c r="Q127" s="17">
        <f t="shared" si="17"/>
        <v>10</v>
      </c>
      <c r="V127" s="69"/>
    </row>
    <row r="128" spans="1:17" ht="15" thickBot="1">
      <c r="A128" s="110" t="s">
        <v>186</v>
      </c>
      <c r="B128" s="103" t="s">
        <v>181</v>
      </c>
      <c r="C128" s="63"/>
      <c r="D128" s="91"/>
      <c r="E128" s="121">
        <v>3</v>
      </c>
      <c r="F128" s="121">
        <v>4</v>
      </c>
      <c r="G128" s="121"/>
      <c r="H128" s="121"/>
      <c r="I128" s="121"/>
      <c r="J128" s="121"/>
      <c r="K128" s="121"/>
      <c r="L128" s="121"/>
      <c r="M128" s="121"/>
      <c r="N128" s="121"/>
      <c r="O128" s="121"/>
      <c r="Q128" s="17">
        <f t="shared" si="17"/>
        <v>7</v>
      </c>
    </row>
    <row r="129" spans="1:17" ht="15" thickBot="1">
      <c r="A129" s="110" t="s">
        <v>186</v>
      </c>
      <c r="B129" s="103" t="s">
        <v>182</v>
      </c>
      <c r="C129" s="63"/>
      <c r="D129" s="91"/>
      <c r="E129" s="121">
        <v>2</v>
      </c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Q129" s="17">
        <f t="shared" si="17"/>
        <v>2</v>
      </c>
    </row>
    <row r="130" spans="1:17" ht="15" thickBot="1">
      <c r="A130" s="110" t="s">
        <v>186</v>
      </c>
      <c r="B130" s="103" t="s">
        <v>183</v>
      </c>
      <c r="C130" s="63"/>
      <c r="D130" s="91"/>
      <c r="E130" s="121">
        <v>10</v>
      </c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Q130" s="17">
        <f t="shared" si="17"/>
        <v>10</v>
      </c>
    </row>
    <row r="131" spans="1:17" ht="15" thickBot="1">
      <c r="A131" s="110" t="s">
        <v>186</v>
      </c>
      <c r="B131" s="103" t="s">
        <v>184</v>
      </c>
      <c r="C131" s="63"/>
      <c r="D131" s="91"/>
      <c r="E131" s="121"/>
      <c r="F131" s="121">
        <v>2</v>
      </c>
      <c r="G131" s="121"/>
      <c r="H131" s="121"/>
      <c r="I131" s="121"/>
      <c r="J131" s="121"/>
      <c r="K131" s="121"/>
      <c r="L131" s="121"/>
      <c r="M131" s="121"/>
      <c r="N131" s="121"/>
      <c r="O131" s="121"/>
      <c r="Q131" s="17">
        <f t="shared" si="17"/>
        <v>2</v>
      </c>
    </row>
    <row r="132" spans="1:17" ht="15" thickBot="1">
      <c r="A132" s="110" t="s">
        <v>186</v>
      </c>
      <c r="B132" s="103" t="s">
        <v>185</v>
      </c>
      <c r="C132" s="63"/>
      <c r="D132" s="9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Q132" s="17">
        <f t="shared" si="17"/>
        <v>0</v>
      </c>
    </row>
    <row r="133" spans="1:19" s="65" customFormat="1" ht="15" thickBot="1">
      <c r="A133" s="196" t="s">
        <v>208</v>
      </c>
      <c r="B133" s="197"/>
      <c r="C133" s="45">
        <f>+D133/Metas!P32</f>
        <v>1.3555987019802396</v>
      </c>
      <c r="D133" s="20">
        <f>+Q133/R133</f>
        <v>0.039312362357426946</v>
      </c>
      <c r="E133" s="14">
        <f>SUM(E120:E132)</f>
        <v>112</v>
      </c>
      <c r="F133" s="14">
        <f aca="true" t="shared" si="18" ref="F133:P133">SUM(F120:F132)</f>
        <v>187</v>
      </c>
      <c r="G133" s="14">
        <f t="shared" si="18"/>
        <v>0</v>
      </c>
      <c r="H133" s="14">
        <f t="shared" si="18"/>
        <v>0</v>
      </c>
      <c r="I133" s="14">
        <f t="shared" si="18"/>
        <v>0</v>
      </c>
      <c r="J133" s="14">
        <f t="shared" si="18"/>
        <v>0</v>
      </c>
      <c r="K133" s="14">
        <f t="shared" si="18"/>
        <v>0</v>
      </c>
      <c r="L133" s="14">
        <f t="shared" si="18"/>
        <v>0</v>
      </c>
      <c r="M133" s="14">
        <f t="shared" si="18"/>
        <v>0</v>
      </c>
      <c r="N133" s="14">
        <f t="shared" si="18"/>
        <v>0</v>
      </c>
      <c r="O133" s="14">
        <f t="shared" si="18"/>
        <v>0</v>
      </c>
      <c r="P133" s="14">
        <f t="shared" si="18"/>
        <v>0</v>
      </c>
      <c r="Q133" s="14">
        <f>SUM(Q120:Q132)</f>
        <v>299</v>
      </c>
      <c r="R133" s="288">
        <f>30423/4</f>
        <v>7605.75</v>
      </c>
      <c r="S133" s="289"/>
    </row>
    <row r="134" spans="1:17" ht="15" thickBot="1">
      <c r="A134" s="110" t="s">
        <v>191</v>
      </c>
      <c r="B134" s="103" t="s">
        <v>187</v>
      </c>
      <c r="C134" s="63"/>
      <c r="D134" s="91"/>
      <c r="E134" s="121">
        <v>56</v>
      </c>
      <c r="F134" s="121">
        <v>47</v>
      </c>
      <c r="G134" s="121"/>
      <c r="H134" s="121"/>
      <c r="I134" s="121"/>
      <c r="J134" s="121"/>
      <c r="K134" s="121"/>
      <c r="L134" s="121"/>
      <c r="M134" s="121"/>
      <c r="N134" s="121"/>
      <c r="O134" s="121"/>
      <c r="Q134" s="17">
        <f>SUM(E134:P134)</f>
        <v>103</v>
      </c>
    </row>
    <row r="135" spans="1:17" ht="15" thickBot="1">
      <c r="A135" s="110" t="s">
        <v>191</v>
      </c>
      <c r="B135" s="103" t="s">
        <v>188</v>
      </c>
      <c r="C135" s="63"/>
      <c r="D135" s="91"/>
      <c r="E135" s="121">
        <v>4</v>
      </c>
      <c r="F135" s="121">
        <v>9</v>
      </c>
      <c r="G135" s="121"/>
      <c r="H135" s="121"/>
      <c r="I135" s="121"/>
      <c r="J135" s="121"/>
      <c r="K135" s="121"/>
      <c r="L135" s="121"/>
      <c r="M135" s="121"/>
      <c r="N135" s="121"/>
      <c r="O135" s="121"/>
      <c r="Q135" s="17">
        <f>SUM(E135:P135)</f>
        <v>13</v>
      </c>
    </row>
    <row r="136" spans="1:17" ht="15" thickBot="1">
      <c r="A136" s="110" t="s">
        <v>191</v>
      </c>
      <c r="B136" s="103" t="s">
        <v>189</v>
      </c>
      <c r="C136" s="63"/>
      <c r="D136" s="91"/>
      <c r="Q136" s="17">
        <f>SUM(E136:P136)</f>
        <v>0</v>
      </c>
    </row>
    <row r="137" spans="1:17" ht="15" thickBot="1">
      <c r="A137" s="110" t="s">
        <v>191</v>
      </c>
      <c r="B137" s="103" t="s">
        <v>190</v>
      </c>
      <c r="C137" s="63"/>
      <c r="D137" s="91"/>
      <c r="Q137" s="17">
        <f>SUM(E137:P137)</f>
        <v>0</v>
      </c>
    </row>
    <row r="138" spans="1:19" s="65" customFormat="1" ht="15" thickBot="1">
      <c r="A138" s="196" t="s">
        <v>209</v>
      </c>
      <c r="B138" s="197"/>
      <c r="C138" s="45">
        <f>+D138/Metas!P34</f>
        <v>1.7397825271841019</v>
      </c>
      <c r="D138" s="20">
        <f>+Q138/R138</f>
        <v>0.04349456317960255</v>
      </c>
      <c r="E138" s="14">
        <f>SUM(E134:E137)</f>
        <v>60</v>
      </c>
      <c r="F138" s="14">
        <f aca="true" t="shared" si="19" ref="F138:P138">SUM(F134:F137)</f>
        <v>56</v>
      </c>
      <c r="G138" s="14">
        <f t="shared" si="19"/>
        <v>0</v>
      </c>
      <c r="H138" s="14">
        <f t="shared" si="19"/>
        <v>0</v>
      </c>
      <c r="I138" s="14">
        <f t="shared" si="19"/>
        <v>0</v>
      </c>
      <c r="J138" s="14">
        <f t="shared" si="19"/>
        <v>0</v>
      </c>
      <c r="K138" s="14">
        <f t="shared" si="19"/>
        <v>0</v>
      </c>
      <c r="L138" s="14">
        <f t="shared" si="19"/>
        <v>0</v>
      </c>
      <c r="M138" s="14">
        <f t="shared" si="19"/>
        <v>0</v>
      </c>
      <c r="N138" s="14">
        <f t="shared" si="19"/>
        <v>0</v>
      </c>
      <c r="O138" s="14">
        <f t="shared" si="19"/>
        <v>0</v>
      </c>
      <c r="P138" s="14">
        <f t="shared" si="19"/>
        <v>0</v>
      </c>
      <c r="Q138" s="14">
        <f>SUM(Q134:Q137)</f>
        <v>116</v>
      </c>
      <c r="R138" s="288">
        <f>10668/4</f>
        <v>2667</v>
      </c>
      <c r="S138" s="289"/>
    </row>
    <row r="139" spans="1:17" ht="15" thickBot="1">
      <c r="A139" s="110" t="s">
        <v>199</v>
      </c>
      <c r="B139" s="103" t="s">
        <v>192</v>
      </c>
      <c r="C139" s="63"/>
      <c r="D139" s="91"/>
      <c r="E139" s="121">
        <v>8</v>
      </c>
      <c r="F139" s="121">
        <v>7</v>
      </c>
      <c r="G139" s="121"/>
      <c r="H139" s="121"/>
      <c r="I139" s="121"/>
      <c r="J139" s="121"/>
      <c r="K139" s="121"/>
      <c r="L139" s="121"/>
      <c r="M139" s="121"/>
      <c r="N139" s="121"/>
      <c r="O139" s="121"/>
      <c r="Q139" s="17">
        <f aca="true" t="shared" si="20" ref="Q139:Q145">SUM(E139:P139)</f>
        <v>15</v>
      </c>
    </row>
    <row r="140" spans="1:17" ht="15" thickBot="1">
      <c r="A140" s="110" t="s">
        <v>199</v>
      </c>
      <c r="B140" s="103" t="s">
        <v>193</v>
      </c>
      <c r="C140" s="63"/>
      <c r="D140" s="91"/>
      <c r="E140" s="121">
        <v>6</v>
      </c>
      <c r="F140" s="121">
        <v>3</v>
      </c>
      <c r="G140" s="121"/>
      <c r="H140" s="121"/>
      <c r="I140" s="121"/>
      <c r="J140" s="121"/>
      <c r="K140" s="121"/>
      <c r="L140" s="121"/>
      <c r="M140" s="121"/>
      <c r="N140" s="121"/>
      <c r="O140" s="121"/>
      <c r="Q140" s="17">
        <f t="shared" si="20"/>
        <v>9</v>
      </c>
    </row>
    <row r="141" spans="1:17" ht="15" thickBot="1">
      <c r="A141" s="110" t="s">
        <v>199</v>
      </c>
      <c r="B141" s="103" t="s">
        <v>194</v>
      </c>
      <c r="C141" s="63"/>
      <c r="D141" s="91"/>
      <c r="E141" s="121">
        <v>4</v>
      </c>
      <c r="F141" s="121">
        <v>3</v>
      </c>
      <c r="G141" s="121"/>
      <c r="H141" s="121"/>
      <c r="I141" s="121"/>
      <c r="J141" s="121"/>
      <c r="K141" s="121"/>
      <c r="L141" s="121"/>
      <c r="M141" s="121"/>
      <c r="N141" s="121"/>
      <c r="O141" s="121"/>
      <c r="Q141" s="17">
        <f t="shared" si="20"/>
        <v>7</v>
      </c>
    </row>
    <row r="142" spans="1:17" ht="15" thickBot="1">
      <c r="A142" s="110" t="s">
        <v>199</v>
      </c>
      <c r="B142" s="103" t="s">
        <v>195</v>
      </c>
      <c r="C142" s="63"/>
      <c r="D142" s="91"/>
      <c r="E142" s="121">
        <v>8</v>
      </c>
      <c r="F142" s="121">
        <v>10</v>
      </c>
      <c r="G142" s="121"/>
      <c r="H142" s="121"/>
      <c r="I142" s="121"/>
      <c r="J142" s="121"/>
      <c r="K142" s="121"/>
      <c r="L142" s="121"/>
      <c r="M142" s="121"/>
      <c r="N142" s="121"/>
      <c r="O142" s="121"/>
      <c r="Q142" s="17">
        <f t="shared" si="20"/>
        <v>18</v>
      </c>
    </row>
    <row r="143" spans="1:17" ht="15" thickBot="1">
      <c r="A143" s="110" t="s">
        <v>199</v>
      </c>
      <c r="B143" s="103" t="s">
        <v>196</v>
      </c>
      <c r="C143" s="63"/>
      <c r="D143" s="91"/>
      <c r="E143" s="121">
        <v>1</v>
      </c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Q143" s="17">
        <f t="shared" si="20"/>
        <v>1</v>
      </c>
    </row>
    <row r="144" spans="1:17" ht="15" thickBot="1">
      <c r="A144" s="110" t="s">
        <v>199</v>
      </c>
      <c r="B144" s="103" t="s">
        <v>197</v>
      </c>
      <c r="C144" s="63"/>
      <c r="D144" s="91"/>
      <c r="E144" s="121">
        <v>7</v>
      </c>
      <c r="F144" s="121">
        <v>5</v>
      </c>
      <c r="G144" s="121"/>
      <c r="H144" s="121"/>
      <c r="I144" s="121"/>
      <c r="J144" s="121"/>
      <c r="K144" s="121"/>
      <c r="L144" s="121"/>
      <c r="M144" s="121"/>
      <c r="N144" s="121"/>
      <c r="O144" s="121"/>
      <c r="Q144" s="17">
        <f t="shared" si="20"/>
        <v>12</v>
      </c>
    </row>
    <row r="145" spans="1:17" ht="15" thickBot="1">
      <c r="A145" s="110" t="s">
        <v>199</v>
      </c>
      <c r="B145" s="103" t="s">
        <v>198</v>
      </c>
      <c r="C145" s="63"/>
      <c r="D145" s="91"/>
      <c r="E145" s="121">
        <v>6</v>
      </c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Q145" s="17">
        <f t="shared" si="20"/>
        <v>6</v>
      </c>
    </row>
    <row r="146" spans="1:19" s="65" customFormat="1" ht="15" thickBot="1">
      <c r="A146" s="196" t="s">
        <v>210</v>
      </c>
      <c r="B146" s="197"/>
      <c r="C146" s="45">
        <f>+D146/Metas!P35</f>
        <v>1.2888185514058546</v>
      </c>
      <c r="D146" s="20">
        <f>+Q146/R146</f>
        <v>0.0683073832245103</v>
      </c>
      <c r="E146" s="14">
        <f>SUM(E139:E145)</f>
        <v>40</v>
      </c>
      <c r="F146" s="14">
        <f aca="true" t="shared" si="21" ref="F146:P146">SUM(F139:F145)</f>
        <v>28</v>
      </c>
      <c r="G146" s="14">
        <f t="shared" si="21"/>
        <v>0</v>
      </c>
      <c r="H146" s="14">
        <f t="shared" si="21"/>
        <v>0</v>
      </c>
      <c r="I146" s="14">
        <f t="shared" si="21"/>
        <v>0</v>
      </c>
      <c r="J146" s="14">
        <f t="shared" si="21"/>
        <v>0</v>
      </c>
      <c r="K146" s="14">
        <f t="shared" si="21"/>
        <v>0</v>
      </c>
      <c r="L146" s="14">
        <f t="shared" si="21"/>
        <v>0</v>
      </c>
      <c r="M146" s="14">
        <f t="shared" si="21"/>
        <v>0</v>
      </c>
      <c r="N146" s="14">
        <f t="shared" si="21"/>
        <v>0</v>
      </c>
      <c r="O146" s="14">
        <f t="shared" si="21"/>
        <v>0</v>
      </c>
      <c r="P146" s="14">
        <f t="shared" si="21"/>
        <v>0</v>
      </c>
      <c r="Q146" s="14">
        <f>SUM(Q139:Q145)</f>
        <v>68</v>
      </c>
      <c r="R146" s="288">
        <f>3982/4</f>
        <v>995.5</v>
      </c>
      <c r="S146" s="289"/>
    </row>
    <row r="147" spans="2:18" ht="14.25">
      <c r="B147" s="148" t="s">
        <v>215</v>
      </c>
      <c r="C147" s="72"/>
      <c r="D147" s="83"/>
      <c r="E147" s="76">
        <f aca="true" t="shared" si="22" ref="E147:R147">+E25+E36+E47+E61+E72+E78+E89+E106+E119+E133+E138+E146</f>
        <v>3181</v>
      </c>
      <c r="F147" s="76">
        <f t="shared" si="22"/>
        <v>3522</v>
      </c>
      <c r="G147" s="76">
        <f t="shared" si="22"/>
        <v>0</v>
      </c>
      <c r="H147" s="76">
        <f t="shared" si="22"/>
        <v>0</v>
      </c>
      <c r="I147" s="76">
        <f t="shared" si="22"/>
        <v>0</v>
      </c>
      <c r="J147" s="76">
        <f t="shared" si="22"/>
        <v>0</v>
      </c>
      <c r="K147" s="76">
        <f t="shared" si="22"/>
        <v>0</v>
      </c>
      <c r="L147" s="76">
        <f t="shared" si="22"/>
        <v>0</v>
      </c>
      <c r="M147" s="76">
        <f t="shared" si="22"/>
        <v>0</v>
      </c>
      <c r="N147" s="76">
        <f t="shared" si="22"/>
        <v>0</v>
      </c>
      <c r="O147" s="76">
        <f t="shared" si="22"/>
        <v>0</v>
      </c>
      <c r="P147" s="76">
        <f t="shared" si="22"/>
        <v>0</v>
      </c>
      <c r="Q147" s="76">
        <f t="shared" si="22"/>
        <v>6703</v>
      </c>
      <c r="R147" s="70">
        <f t="shared" si="22"/>
        <v>143359.75</v>
      </c>
    </row>
    <row r="148" spans="3:4" ht="14.25">
      <c r="C148" s="74"/>
      <c r="D148" s="98"/>
    </row>
  </sheetData>
  <sheetProtection/>
  <mergeCells count="33">
    <mergeCell ref="R138:S138"/>
    <mergeCell ref="R146:S146"/>
    <mergeCell ref="R78:S78"/>
    <mergeCell ref="R89:S89"/>
    <mergeCell ref="R106:S106"/>
    <mergeCell ref="R119:S119"/>
    <mergeCell ref="R133:S133"/>
    <mergeCell ref="R25:S25"/>
    <mergeCell ref="R36:S36"/>
    <mergeCell ref="A106:B106"/>
    <mergeCell ref="A119:B119"/>
    <mergeCell ref="A25:B25"/>
    <mergeCell ref="A36:B36"/>
    <mergeCell ref="R47:S47"/>
    <mergeCell ref="R72:S72"/>
    <mergeCell ref="R61:S61"/>
    <mergeCell ref="A138:B138"/>
    <mergeCell ref="A146:B146"/>
    <mergeCell ref="A47:B47"/>
    <mergeCell ref="A61:B61"/>
    <mergeCell ref="A72:B72"/>
    <mergeCell ref="A78:B78"/>
    <mergeCell ref="A89:B89"/>
    <mergeCell ref="A133:B133"/>
    <mergeCell ref="A1:A10"/>
    <mergeCell ref="B1:B10"/>
    <mergeCell ref="E1:S1"/>
    <mergeCell ref="E2:Q9"/>
    <mergeCell ref="R2:S9"/>
    <mergeCell ref="E10:Q10"/>
    <mergeCell ref="R10:S11"/>
    <mergeCell ref="D1:D10"/>
    <mergeCell ref="C1:C1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148"/>
  <sheetViews>
    <sheetView zoomScale="80" zoomScaleNormal="8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11.421875" defaultRowHeight="15"/>
  <cols>
    <col min="1" max="1" width="20.28125" style="110" bestFit="1" customWidth="1"/>
    <col min="2" max="2" width="36.7109375" style="110" bestFit="1" customWidth="1"/>
    <col min="3" max="3" width="14.421875" style="62" customWidth="1"/>
    <col min="4" max="4" width="10.140625" style="62" bestFit="1" customWidth="1"/>
    <col min="5" max="5" width="9.57421875" style="76" customWidth="1"/>
    <col min="6" max="6" width="10.421875" style="76" customWidth="1"/>
    <col min="7" max="7" width="10.8515625" style="76" customWidth="1"/>
    <col min="8" max="8" width="9.28125" style="76" customWidth="1"/>
    <col min="9" max="9" width="9.421875" style="76" customWidth="1"/>
    <col min="10" max="11" width="9.7109375" style="76" bestFit="1" customWidth="1"/>
    <col min="12" max="12" width="8.421875" style="76" bestFit="1" customWidth="1"/>
    <col min="13" max="17" width="7.57421875" style="76" bestFit="1" customWidth="1"/>
    <col min="18" max="18" width="8.421875" style="76" bestFit="1" customWidth="1"/>
    <col min="19" max="19" width="7.140625" style="76" bestFit="1" customWidth="1"/>
    <col min="20" max="20" width="9.00390625" style="76" customWidth="1"/>
    <col min="21" max="21" width="8.421875" style="76" customWidth="1"/>
    <col min="22" max="22" width="7.140625" style="76" bestFit="1" customWidth="1"/>
    <col min="23" max="24" width="9.7109375" style="76" bestFit="1" customWidth="1"/>
    <col min="25" max="25" width="8.28125" style="76" customWidth="1"/>
    <col min="26" max="26" width="7.00390625" style="76" customWidth="1"/>
    <col min="27" max="28" width="7.140625" style="76" bestFit="1" customWidth="1"/>
    <col min="29" max="29" width="7.57421875" style="76" bestFit="1" customWidth="1"/>
    <col min="30" max="30" width="8.57421875" style="76" customWidth="1"/>
    <col min="31" max="31" width="8.00390625" style="76" customWidth="1"/>
    <col min="32" max="32" width="7.140625" style="76" bestFit="1" customWidth="1"/>
    <col min="33" max="34" width="8.57421875" style="76" customWidth="1"/>
    <col min="35" max="35" width="7.140625" style="76" bestFit="1" customWidth="1"/>
    <col min="36" max="36" width="7.28125" style="76" customWidth="1"/>
    <col min="37" max="37" width="12.8515625" style="76" customWidth="1"/>
    <col min="38" max="39" width="16.8515625" style="76" bestFit="1" customWidth="1"/>
    <col min="40" max="16384" width="11.421875" style="62" customWidth="1"/>
  </cols>
  <sheetData>
    <row r="1" spans="1:39" ht="73.5" customHeight="1" thickBot="1" thickTop="1">
      <c r="A1" s="204" t="s">
        <v>0</v>
      </c>
      <c r="B1" s="198" t="s">
        <v>1</v>
      </c>
      <c r="C1" s="198" t="s">
        <v>217</v>
      </c>
      <c r="D1" s="222" t="s">
        <v>213</v>
      </c>
      <c r="E1" s="256" t="s">
        <v>252</v>
      </c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8"/>
    </row>
    <row r="2" spans="1:39" ht="15" customHeight="1" thickTop="1">
      <c r="A2" s="205"/>
      <c r="B2" s="208"/>
      <c r="C2" s="199"/>
      <c r="D2" s="223"/>
      <c r="E2" s="259" t="s">
        <v>3</v>
      </c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1"/>
      <c r="AK2" s="245" t="s">
        <v>4</v>
      </c>
      <c r="AL2" s="245"/>
      <c r="AM2" s="249"/>
    </row>
    <row r="3" spans="1:39" ht="15" customHeight="1">
      <c r="A3" s="205"/>
      <c r="B3" s="208"/>
      <c r="C3" s="199"/>
      <c r="D3" s="223"/>
      <c r="E3" s="262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63"/>
      <c r="AK3" s="245"/>
      <c r="AL3" s="245"/>
      <c r="AM3" s="249"/>
    </row>
    <row r="4" spans="1:39" ht="15" customHeight="1">
      <c r="A4" s="205"/>
      <c r="B4" s="208"/>
      <c r="C4" s="199"/>
      <c r="D4" s="223"/>
      <c r="E4" s="262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63"/>
      <c r="AK4" s="245"/>
      <c r="AL4" s="245"/>
      <c r="AM4" s="249"/>
    </row>
    <row r="5" spans="1:39" ht="15" customHeight="1">
      <c r="A5" s="205"/>
      <c r="B5" s="208"/>
      <c r="C5" s="199"/>
      <c r="D5" s="223"/>
      <c r="E5" s="262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63"/>
      <c r="AK5" s="245"/>
      <c r="AL5" s="245"/>
      <c r="AM5" s="249"/>
    </row>
    <row r="6" spans="1:39" ht="15" customHeight="1">
      <c r="A6" s="205"/>
      <c r="B6" s="208"/>
      <c r="C6" s="199"/>
      <c r="D6" s="223"/>
      <c r="E6" s="262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63"/>
      <c r="AK6" s="245"/>
      <c r="AL6" s="245"/>
      <c r="AM6" s="249"/>
    </row>
    <row r="7" spans="1:39" ht="15" customHeight="1">
      <c r="A7" s="205"/>
      <c r="B7" s="208"/>
      <c r="C7" s="199"/>
      <c r="D7" s="223"/>
      <c r="E7" s="262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63"/>
      <c r="AK7" s="245"/>
      <c r="AL7" s="245"/>
      <c r="AM7" s="249"/>
    </row>
    <row r="8" spans="1:39" ht="15" customHeight="1">
      <c r="A8" s="205"/>
      <c r="B8" s="208"/>
      <c r="C8" s="199"/>
      <c r="D8" s="223"/>
      <c r="E8" s="262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63"/>
      <c r="AK8" s="245"/>
      <c r="AL8" s="245"/>
      <c r="AM8" s="249"/>
    </row>
    <row r="9" spans="1:39" ht="15.75" customHeight="1" thickBot="1">
      <c r="A9" s="205"/>
      <c r="B9" s="208"/>
      <c r="C9" s="199"/>
      <c r="D9" s="223"/>
      <c r="E9" s="264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6"/>
      <c r="AK9" s="247"/>
      <c r="AL9" s="247"/>
      <c r="AM9" s="250"/>
    </row>
    <row r="10" spans="1:39" ht="57.75" customHeight="1" thickBot="1" thickTop="1">
      <c r="A10" s="206"/>
      <c r="B10" s="200"/>
      <c r="C10" s="199"/>
      <c r="D10" s="224"/>
      <c r="E10" s="254" t="s">
        <v>253</v>
      </c>
      <c r="F10" s="255"/>
      <c r="G10" s="255"/>
      <c r="H10" s="255"/>
      <c r="I10" s="255"/>
      <c r="J10" s="269"/>
      <c r="K10" s="251" t="s">
        <v>254</v>
      </c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2" t="s">
        <v>287</v>
      </c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72" t="s">
        <v>259</v>
      </c>
      <c r="AL10" s="272" t="s">
        <v>260</v>
      </c>
      <c r="AM10" s="272" t="s">
        <v>261</v>
      </c>
    </row>
    <row r="11" spans="1:39" ht="33" thickBot="1">
      <c r="A11" s="149"/>
      <c r="B11" s="149"/>
      <c r="C11" s="200"/>
      <c r="D11" s="140" t="s">
        <v>214</v>
      </c>
      <c r="E11" s="144" t="s">
        <v>292</v>
      </c>
      <c r="F11" s="145" t="s">
        <v>274</v>
      </c>
      <c r="G11" s="144" t="s">
        <v>22</v>
      </c>
      <c r="H11" s="145" t="s">
        <v>26</v>
      </c>
      <c r="I11" s="145" t="s">
        <v>28</v>
      </c>
      <c r="J11" s="145" t="s">
        <v>27</v>
      </c>
      <c r="K11" s="144" t="s">
        <v>9</v>
      </c>
      <c r="L11" s="144" t="s">
        <v>10</v>
      </c>
      <c r="M11" s="144" t="s">
        <v>11</v>
      </c>
      <c r="N11" s="144" t="s">
        <v>12</v>
      </c>
      <c r="O11" s="144" t="s">
        <v>13</v>
      </c>
      <c r="P11" s="144" t="s">
        <v>14</v>
      </c>
      <c r="Q11" s="144" t="s">
        <v>15</v>
      </c>
      <c r="R11" s="144" t="s">
        <v>16</v>
      </c>
      <c r="S11" s="144" t="s">
        <v>17</v>
      </c>
      <c r="T11" s="144" t="s">
        <v>18</v>
      </c>
      <c r="U11" s="144" t="s">
        <v>19</v>
      </c>
      <c r="V11" s="144" t="s">
        <v>20</v>
      </c>
      <c r="W11" s="144" t="s">
        <v>21</v>
      </c>
      <c r="X11" s="144" t="s">
        <v>9</v>
      </c>
      <c r="Y11" s="144" t="s">
        <v>10</v>
      </c>
      <c r="Z11" s="144" t="s">
        <v>11</v>
      </c>
      <c r="AA11" s="144" t="s">
        <v>12</v>
      </c>
      <c r="AB11" s="144" t="s">
        <v>13</v>
      </c>
      <c r="AC11" s="144" t="s">
        <v>14</v>
      </c>
      <c r="AD11" s="144" t="s">
        <v>15</v>
      </c>
      <c r="AE11" s="144" t="s">
        <v>16</v>
      </c>
      <c r="AF11" s="144" t="s">
        <v>17</v>
      </c>
      <c r="AG11" s="144" t="s">
        <v>18</v>
      </c>
      <c r="AH11" s="144" t="s">
        <v>19</v>
      </c>
      <c r="AI11" s="144" t="s">
        <v>20</v>
      </c>
      <c r="AJ11" s="145" t="s">
        <v>21</v>
      </c>
      <c r="AK11" s="273"/>
      <c r="AL11" s="273"/>
      <c r="AM11" s="273"/>
    </row>
    <row r="12" spans="1:36" ht="15" thickBot="1">
      <c r="A12" s="110" t="s">
        <v>78</v>
      </c>
      <c r="B12" s="103" t="s">
        <v>65</v>
      </c>
      <c r="C12" s="63"/>
      <c r="D12" s="63"/>
      <c r="E12" s="17">
        <v>611</v>
      </c>
      <c r="F12" s="49">
        <f aca="true" t="shared" si="0" ref="F12:F24">+E12+(K12+L12+M12)-(X12+Y12+Z12)</f>
        <v>636</v>
      </c>
      <c r="G12" s="17"/>
      <c r="H12" s="61"/>
      <c r="I12" s="50"/>
      <c r="J12" s="51"/>
      <c r="K12" s="126">
        <v>17</v>
      </c>
      <c r="L12" s="126">
        <v>10</v>
      </c>
      <c r="M12" s="126"/>
      <c r="N12" s="126"/>
      <c r="O12" s="126"/>
      <c r="P12" s="126"/>
      <c r="Q12" s="126"/>
      <c r="R12" s="126"/>
      <c r="S12" s="126"/>
      <c r="T12" s="127"/>
      <c r="U12" s="126"/>
      <c r="V12" s="126"/>
      <c r="W12" s="17">
        <f>SUM(K12:V12)</f>
        <v>27</v>
      </c>
      <c r="X12" s="126"/>
      <c r="Y12" s="126">
        <v>2</v>
      </c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7">
        <f>SUM(X12:AI12)</f>
        <v>2</v>
      </c>
    </row>
    <row r="13" spans="1:36" ht="15" thickBot="1">
      <c r="A13" s="110" t="s">
        <v>78</v>
      </c>
      <c r="B13" s="103" t="s">
        <v>66</v>
      </c>
      <c r="C13" s="63"/>
      <c r="D13" s="63"/>
      <c r="E13" s="17">
        <v>469</v>
      </c>
      <c r="F13" s="49">
        <f t="shared" si="0"/>
        <v>474</v>
      </c>
      <c r="G13" s="17"/>
      <c r="H13" s="61"/>
      <c r="I13" s="50"/>
      <c r="J13" s="51"/>
      <c r="K13" s="126">
        <v>5</v>
      </c>
      <c r="L13" s="126"/>
      <c r="M13" s="126"/>
      <c r="N13" s="126"/>
      <c r="O13" s="126"/>
      <c r="P13" s="126"/>
      <c r="Q13" s="126"/>
      <c r="R13" s="126"/>
      <c r="S13" s="126"/>
      <c r="T13" s="127"/>
      <c r="U13" s="126"/>
      <c r="V13" s="126"/>
      <c r="W13" s="17">
        <f aca="true" t="shared" si="1" ref="W13:W75">SUM(K13:V13)</f>
        <v>5</v>
      </c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7">
        <f aca="true" t="shared" si="2" ref="AJ13:AJ75">SUM(X13:AI13)</f>
        <v>0</v>
      </c>
    </row>
    <row r="14" spans="1:36" ht="15" thickBot="1">
      <c r="A14" s="110" t="s">
        <v>78</v>
      </c>
      <c r="B14" s="103" t="s">
        <v>67</v>
      </c>
      <c r="C14" s="63"/>
      <c r="D14" s="63"/>
      <c r="E14" s="17">
        <v>488</v>
      </c>
      <c r="F14" s="49">
        <f t="shared" si="0"/>
        <v>455</v>
      </c>
      <c r="G14" s="17"/>
      <c r="H14" s="61"/>
      <c r="I14" s="50"/>
      <c r="J14" s="51"/>
      <c r="K14" s="126">
        <v>7</v>
      </c>
      <c r="L14" s="126">
        <v>4</v>
      </c>
      <c r="M14" s="126"/>
      <c r="N14" s="126"/>
      <c r="O14" s="126"/>
      <c r="P14" s="126"/>
      <c r="Q14" s="126"/>
      <c r="R14" s="126"/>
      <c r="S14" s="126"/>
      <c r="T14" s="127"/>
      <c r="U14" s="126"/>
      <c r="V14" s="126"/>
      <c r="W14" s="17">
        <f t="shared" si="1"/>
        <v>11</v>
      </c>
      <c r="X14" s="126">
        <v>2</v>
      </c>
      <c r="Y14" s="126">
        <v>42</v>
      </c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7">
        <f t="shared" si="2"/>
        <v>44</v>
      </c>
    </row>
    <row r="15" spans="1:36" ht="15" thickBot="1">
      <c r="A15" s="110" t="s">
        <v>78</v>
      </c>
      <c r="B15" s="103" t="s">
        <v>68</v>
      </c>
      <c r="C15" s="63"/>
      <c r="D15" s="63"/>
      <c r="E15" s="17">
        <v>375</v>
      </c>
      <c r="F15" s="49">
        <f t="shared" si="0"/>
        <v>380</v>
      </c>
      <c r="G15" s="17"/>
      <c r="H15" s="61"/>
      <c r="I15" s="50"/>
      <c r="J15" s="51"/>
      <c r="K15" s="126">
        <v>14</v>
      </c>
      <c r="L15" s="126">
        <v>5</v>
      </c>
      <c r="M15" s="126"/>
      <c r="N15" s="126"/>
      <c r="O15" s="126"/>
      <c r="P15" s="126"/>
      <c r="Q15" s="126"/>
      <c r="R15" s="126"/>
      <c r="S15" s="126"/>
      <c r="T15" s="127"/>
      <c r="U15" s="126"/>
      <c r="V15" s="126"/>
      <c r="W15" s="17">
        <f t="shared" si="1"/>
        <v>19</v>
      </c>
      <c r="X15" s="126">
        <v>11</v>
      </c>
      <c r="Y15" s="126">
        <v>3</v>
      </c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7">
        <f t="shared" si="2"/>
        <v>14</v>
      </c>
    </row>
    <row r="16" spans="1:36" ht="15" thickBot="1">
      <c r="A16" s="110" t="s">
        <v>78</v>
      </c>
      <c r="B16" s="103" t="s">
        <v>69</v>
      </c>
      <c r="C16" s="66"/>
      <c r="D16" s="63"/>
      <c r="E16" s="17">
        <v>592</v>
      </c>
      <c r="F16" s="49">
        <f t="shared" si="0"/>
        <v>583</v>
      </c>
      <c r="G16" s="17"/>
      <c r="H16" s="61"/>
      <c r="I16" s="50"/>
      <c r="J16" s="51"/>
      <c r="K16" s="126">
        <v>3</v>
      </c>
      <c r="L16" s="126">
        <v>3</v>
      </c>
      <c r="M16" s="126"/>
      <c r="N16" s="126"/>
      <c r="O16" s="126"/>
      <c r="P16" s="126"/>
      <c r="Q16" s="126"/>
      <c r="R16" s="126"/>
      <c r="S16" s="126"/>
      <c r="T16" s="127"/>
      <c r="U16" s="126"/>
      <c r="V16" s="126"/>
      <c r="W16" s="17">
        <f t="shared" si="1"/>
        <v>6</v>
      </c>
      <c r="X16" s="126">
        <v>11</v>
      </c>
      <c r="Y16" s="126">
        <v>4</v>
      </c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7">
        <f t="shared" si="2"/>
        <v>15</v>
      </c>
    </row>
    <row r="17" spans="1:36" ht="15" thickBot="1">
      <c r="A17" s="110" t="s">
        <v>78</v>
      </c>
      <c r="B17" s="103" t="s">
        <v>70</v>
      </c>
      <c r="C17" s="63"/>
      <c r="D17" s="63"/>
      <c r="E17" s="17">
        <v>446</v>
      </c>
      <c r="F17" s="49">
        <f t="shared" si="0"/>
        <v>471</v>
      </c>
      <c r="G17" s="17"/>
      <c r="H17" s="61"/>
      <c r="I17" s="50"/>
      <c r="J17" s="51"/>
      <c r="K17" s="126">
        <v>12</v>
      </c>
      <c r="L17" s="126">
        <v>13</v>
      </c>
      <c r="M17" s="126"/>
      <c r="N17" s="126"/>
      <c r="O17" s="126"/>
      <c r="P17" s="126"/>
      <c r="Q17" s="126"/>
      <c r="R17" s="126"/>
      <c r="S17" s="126"/>
      <c r="T17" s="127"/>
      <c r="U17" s="126"/>
      <c r="V17" s="126"/>
      <c r="W17" s="17">
        <f t="shared" si="1"/>
        <v>25</v>
      </c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7">
        <f t="shared" si="2"/>
        <v>0</v>
      </c>
    </row>
    <row r="18" spans="1:36" ht="15" thickBot="1">
      <c r="A18" s="110" t="s">
        <v>78</v>
      </c>
      <c r="B18" s="103" t="s">
        <v>71</v>
      </c>
      <c r="C18" s="63"/>
      <c r="D18" s="63"/>
      <c r="E18" s="17">
        <v>74</v>
      </c>
      <c r="F18" s="49">
        <f t="shared" si="0"/>
        <v>75</v>
      </c>
      <c r="G18" s="17"/>
      <c r="H18" s="61"/>
      <c r="I18" s="50"/>
      <c r="J18" s="51"/>
      <c r="K18" s="126"/>
      <c r="L18" s="126">
        <v>1</v>
      </c>
      <c r="M18" s="126"/>
      <c r="N18" s="126"/>
      <c r="O18" s="126"/>
      <c r="P18" s="126"/>
      <c r="Q18" s="126"/>
      <c r="R18" s="126"/>
      <c r="S18" s="126"/>
      <c r="T18" s="127"/>
      <c r="U18" s="126"/>
      <c r="V18" s="126"/>
      <c r="W18" s="17">
        <f t="shared" si="1"/>
        <v>1</v>
      </c>
      <c r="X18" s="121"/>
      <c r="Y18" s="121"/>
      <c r="Z18" s="121"/>
      <c r="AA18" s="121"/>
      <c r="AB18" s="121"/>
      <c r="AC18" s="121"/>
      <c r="AD18" s="121"/>
      <c r="AE18" s="121"/>
      <c r="AF18" s="121"/>
      <c r="AG18" s="126"/>
      <c r="AH18" s="126"/>
      <c r="AI18" s="126"/>
      <c r="AJ18" s="17">
        <f t="shared" si="2"/>
        <v>0</v>
      </c>
    </row>
    <row r="19" spans="1:36" ht="15" thickBot="1">
      <c r="A19" s="110" t="s">
        <v>78</v>
      </c>
      <c r="B19" s="103" t="s">
        <v>72</v>
      </c>
      <c r="C19" s="63"/>
      <c r="D19" s="63"/>
      <c r="E19" s="17">
        <v>15</v>
      </c>
      <c r="F19" s="49">
        <f t="shared" si="0"/>
        <v>15</v>
      </c>
      <c r="G19" s="17"/>
      <c r="H19" s="61"/>
      <c r="I19" s="50"/>
      <c r="J19" s="51"/>
      <c r="K19" s="126"/>
      <c r="L19" s="126"/>
      <c r="M19" s="126"/>
      <c r="N19" s="126"/>
      <c r="O19" s="126"/>
      <c r="P19" s="126"/>
      <c r="Q19" s="126"/>
      <c r="R19" s="126"/>
      <c r="S19" s="126"/>
      <c r="T19" s="127"/>
      <c r="U19" s="126"/>
      <c r="V19" s="126"/>
      <c r="W19" s="17">
        <f t="shared" si="1"/>
        <v>0</v>
      </c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7">
        <f t="shared" si="2"/>
        <v>0</v>
      </c>
    </row>
    <row r="20" spans="1:36" ht="15" thickBot="1">
      <c r="A20" s="110" t="s">
        <v>78</v>
      </c>
      <c r="B20" s="103" t="s">
        <v>73</v>
      </c>
      <c r="C20" s="63"/>
      <c r="D20" s="63"/>
      <c r="E20" s="17">
        <v>7</v>
      </c>
      <c r="F20" s="49">
        <f t="shared" si="0"/>
        <v>7</v>
      </c>
      <c r="G20" s="17"/>
      <c r="H20" s="61"/>
      <c r="I20" s="50"/>
      <c r="J20" s="51"/>
      <c r="K20" s="126"/>
      <c r="L20" s="126"/>
      <c r="M20" s="126"/>
      <c r="N20" s="126"/>
      <c r="O20" s="126"/>
      <c r="P20" s="126"/>
      <c r="Q20" s="126"/>
      <c r="R20" s="126"/>
      <c r="S20" s="126"/>
      <c r="T20" s="127"/>
      <c r="U20" s="126"/>
      <c r="V20" s="126"/>
      <c r="W20" s="17">
        <f t="shared" si="1"/>
        <v>0</v>
      </c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7">
        <f t="shared" si="2"/>
        <v>0</v>
      </c>
    </row>
    <row r="21" spans="1:36" ht="15" thickBot="1">
      <c r="A21" s="110" t="s">
        <v>78</v>
      </c>
      <c r="B21" s="103" t="s">
        <v>74</v>
      </c>
      <c r="C21" s="67"/>
      <c r="D21" s="63"/>
      <c r="E21" s="17">
        <v>2</v>
      </c>
      <c r="F21" s="49">
        <f t="shared" si="0"/>
        <v>2</v>
      </c>
      <c r="G21" s="17"/>
      <c r="H21" s="61"/>
      <c r="I21" s="50"/>
      <c r="J21" s="51"/>
      <c r="K21" s="126"/>
      <c r="L21" s="126"/>
      <c r="M21" s="126"/>
      <c r="N21" s="126"/>
      <c r="O21" s="126"/>
      <c r="P21" s="126"/>
      <c r="Q21" s="126"/>
      <c r="R21" s="126"/>
      <c r="S21" s="126"/>
      <c r="T21" s="127"/>
      <c r="U21" s="126"/>
      <c r="V21" s="126"/>
      <c r="W21" s="17">
        <f t="shared" si="1"/>
        <v>0</v>
      </c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7">
        <f t="shared" si="2"/>
        <v>0</v>
      </c>
    </row>
    <row r="22" spans="1:36" ht="15" thickBot="1">
      <c r="A22" s="110" t="s">
        <v>78</v>
      </c>
      <c r="B22" s="103" t="s">
        <v>75</v>
      </c>
      <c r="C22" s="63"/>
      <c r="D22" s="63"/>
      <c r="E22" s="17"/>
      <c r="F22" s="49">
        <f t="shared" si="0"/>
        <v>0</v>
      </c>
      <c r="G22" s="17"/>
      <c r="H22" s="61"/>
      <c r="I22" s="50"/>
      <c r="J22" s="51"/>
      <c r="K22" s="126"/>
      <c r="L22" s="126"/>
      <c r="M22" s="126"/>
      <c r="N22" s="126"/>
      <c r="O22" s="126"/>
      <c r="P22" s="126"/>
      <c r="Q22" s="126"/>
      <c r="R22" s="126"/>
      <c r="S22" s="126"/>
      <c r="T22" s="127"/>
      <c r="U22" s="126"/>
      <c r="V22" s="126"/>
      <c r="W22" s="17">
        <f t="shared" si="1"/>
        <v>0</v>
      </c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7">
        <f>SUM(X22:AI22)</f>
        <v>0</v>
      </c>
    </row>
    <row r="23" spans="1:36" ht="15" thickBot="1">
      <c r="A23" s="110" t="s">
        <v>78</v>
      </c>
      <c r="B23" s="103" t="s">
        <v>76</v>
      </c>
      <c r="C23" s="63"/>
      <c r="D23" s="63"/>
      <c r="E23" s="17"/>
      <c r="F23" s="49">
        <f t="shared" si="0"/>
        <v>0</v>
      </c>
      <c r="G23" s="17"/>
      <c r="H23" s="61"/>
      <c r="I23" s="50"/>
      <c r="J23" s="51"/>
      <c r="K23" s="126"/>
      <c r="L23" s="126"/>
      <c r="M23" s="126"/>
      <c r="N23" s="126"/>
      <c r="O23" s="126"/>
      <c r="P23" s="126"/>
      <c r="Q23" s="126"/>
      <c r="R23" s="126"/>
      <c r="S23" s="126"/>
      <c r="T23" s="127"/>
      <c r="U23" s="126"/>
      <c r="V23" s="126"/>
      <c r="W23" s="17">
        <f t="shared" si="1"/>
        <v>0</v>
      </c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7">
        <f t="shared" si="2"/>
        <v>0</v>
      </c>
    </row>
    <row r="24" spans="1:36" ht="15" thickBot="1">
      <c r="A24" s="110" t="s">
        <v>78</v>
      </c>
      <c r="B24" s="103" t="s">
        <v>77</v>
      </c>
      <c r="C24" s="63"/>
      <c r="D24" s="63"/>
      <c r="E24" s="17"/>
      <c r="F24" s="49">
        <f t="shared" si="0"/>
        <v>0</v>
      </c>
      <c r="G24" s="17"/>
      <c r="H24" s="61"/>
      <c r="I24" s="50"/>
      <c r="J24" s="51"/>
      <c r="K24" s="126"/>
      <c r="L24" s="126"/>
      <c r="M24" s="126"/>
      <c r="N24" s="126"/>
      <c r="O24" s="126"/>
      <c r="P24" s="126"/>
      <c r="Q24" s="126"/>
      <c r="R24" s="126"/>
      <c r="S24" s="126"/>
      <c r="T24" s="127"/>
      <c r="U24" s="126"/>
      <c r="V24" s="126"/>
      <c r="W24" s="17">
        <f t="shared" si="1"/>
        <v>0</v>
      </c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7">
        <f t="shared" si="2"/>
        <v>0</v>
      </c>
    </row>
    <row r="25" spans="1:39" ht="15" thickBot="1">
      <c r="A25" s="196" t="s">
        <v>200</v>
      </c>
      <c r="B25" s="197"/>
      <c r="C25" s="45">
        <f>+D25/Metas!Q30</f>
        <v>0.5561539566278902</v>
      </c>
      <c r="D25" s="19">
        <f>+F25/AK25</f>
        <v>0.12235387045813587</v>
      </c>
      <c r="E25" s="14">
        <f aca="true" t="shared" si="3" ref="E25:K25">SUM(E12:E24)</f>
        <v>3079</v>
      </c>
      <c r="F25" s="14">
        <f>SUM(F12:F24)</f>
        <v>3098</v>
      </c>
      <c r="G25" s="14">
        <f t="shared" si="3"/>
        <v>0</v>
      </c>
      <c r="H25" s="14">
        <f t="shared" si="3"/>
        <v>0</v>
      </c>
      <c r="I25" s="14">
        <f>SUM(I12:I24)</f>
        <v>0</v>
      </c>
      <c r="J25" s="14">
        <f t="shared" si="3"/>
        <v>0</v>
      </c>
      <c r="K25" s="14">
        <f t="shared" si="3"/>
        <v>58</v>
      </c>
      <c r="L25" s="14">
        <f aca="true" t="shared" si="4" ref="L25:V25">SUM(L12:L24)</f>
        <v>36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  <c r="Q25" s="14">
        <f t="shared" si="4"/>
        <v>0</v>
      </c>
      <c r="R25" s="14">
        <f t="shared" si="4"/>
        <v>0</v>
      </c>
      <c r="S25" s="14">
        <f t="shared" si="4"/>
        <v>0</v>
      </c>
      <c r="T25" s="14">
        <f t="shared" si="4"/>
        <v>0</v>
      </c>
      <c r="U25" s="14">
        <f t="shared" si="4"/>
        <v>0</v>
      </c>
      <c r="V25" s="14">
        <f t="shared" si="4"/>
        <v>0</v>
      </c>
      <c r="W25" s="14">
        <f t="shared" si="1"/>
        <v>94</v>
      </c>
      <c r="X25" s="14">
        <f aca="true" t="shared" si="5" ref="X25:AI25">SUM(X12:X24)</f>
        <v>24</v>
      </c>
      <c r="Y25" s="14">
        <f t="shared" si="5"/>
        <v>51</v>
      </c>
      <c r="Z25" s="14">
        <f t="shared" si="5"/>
        <v>0</v>
      </c>
      <c r="AA25" s="14">
        <f t="shared" si="5"/>
        <v>0</v>
      </c>
      <c r="AB25" s="14">
        <f t="shared" si="5"/>
        <v>0</v>
      </c>
      <c r="AC25" s="14">
        <f t="shared" si="5"/>
        <v>0</v>
      </c>
      <c r="AD25" s="14">
        <f t="shared" si="5"/>
        <v>0</v>
      </c>
      <c r="AE25" s="14">
        <f t="shared" si="5"/>
        <v>0</v>
      </c>
      <c r="AF25" s="14">
        <f t="shared" si="5"/>
        <v>0</v>
      </c>
      <c r="AG25" s="14">
        <f t="shared" si="5"/>
        <v>0</v>
      </c>
      <c r="AH25" s="14">
        <f t="shared" si="5"/>
        <v>0</v>
      </c>
      <c r="AI25" s="14">
        <f t="shared" si="5"/>
        <v>0</v>
      </c>
      <c r="AJ25" s="14">
        <f t="shared" si="2"/>
        <v>75</v>
      </c>
      <c r="AK25" s="14">
        <f>+AL25+AM25</f>
        <v>25320</v>
      </c>
      <c r="AL25" s="14">
        <f>188828*0.1</f>
        <v>18882.8</v>
      </c>
      <c r="AM25" s="14">
        <f>80465*0.08</f>
        <v>6437.2</v>
      </c>
    </row>
    <row r="26" spans="1:36" ht="15" thickBot="1">
      <c r="A26" s="110" t="s">
        <v>79</v>
      </c>
      <c r="B26" s="103" t="s">
        <v>80</v>
      </c>
      <c r="C26" s="63"/>
      <c r="D26" s="63"/>
      <c r="E26" s="17">
        <v>444</v>
      </c>
      <c r="F26" s="49">
        <f aca="true" t="shared" si="6" ref="F26:F35">+E26+(K26+L26+M26)-(X26+Y26+Z26)</f>
        <v>438</v>
      </c>
      <c r="G26" s="17"/>
      <c r="H26" s="61"/>
      <c r="I26" s="50"/>
      <c r="J26" s="51"/>
      <c r="K26" s="52">
        <v>3</v>
      </c>
      <c r="L26" s="52">
        <v>4</v>
      </c>
      <c r="M26" s="52"/>
      <c r="N26" s="52"/>
      <c r="O26" s="52"/>
      <c r="P26" s="52"/>
      <c r="Q26" s="52"/>
      <c r="R26" s="52"/>
      <c r="S26" s="52"/>
      <c r="T26" s="53"/>
      <c r="U26" s="52"/>
      <c r="V26" s="52"/>
      <c r="W26" s="17">
        <f t="shared" si="1"/>
        <v>7</v>
      </c>
      <c r="X26" s="126">
        <v>13</v>
      </c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7">
        <f t="shared" si="2"/>
        <v>13</v>
      </c>
    </row>
    <row r="27" spans="1:36" ht="15" thickBot="1">
      <c r="A27" s="110" t="s">
        <v>79</v>
      </c>
      <c r="B27" s="103" t="s">
        <v>81</v>
      </c>
      <c r="C27" s="63"/>
      <c r="D27" s="63"/>
      <c r="E27" s="17">
        <v>556</v>
      </c>
      <c r="F27" s="49">
        <f t="shared" si="6"/>
        <v>568</v>
      </c>
      <c r="G27" s="17"/>
      <c r="H27" s="61"/>
      <c r="I27" s="50"/>
      <c r="J27" s="51"/>
      <c r="K27" s="52">
        <v>6</v>
      </c>
      <c r="L27" s="52">
        <v>7</v>
      </c>
      <c r="M27" s="52"/>
      <c r="N27" s="52"/>
      <c r="O27" s="52"/>
      <c r="P27" s="52"/>
      <c r="Q27" s="52"/>
      <c r="R27" s="52"/>
      <c r="S27" s="52"/>
      <c r="T27" s="53"/>
      <c r="U27" s="52"/>
      <c r="V27" s="52"/>
      <c r="W27" s="17">
        <f t="shared" si="1"/>
        <v>13</v>
      </c>
      <c r="X27" s="126">
        <v>1</v>
      </c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7">
        <f t="shared" si="2"/>
        <v>1</v>
      </c>
    </row>
    <row r="28" spans="1:36" ht="15" thickBot="1">
      <c r="A28" s="110" t="s">
        <v>79</v>
      </c>
      <c r="B28" s="103" t="s">
        <v>82</v>
      </c>
      <c r="C28" s="63"/>
      <c r="D28" s="63"/>
      <c r="E28" s="17">
        <v>1109</v>
      </c>
      <c r="F28" s="49">
        <f t="shared" si="6"/>
        <v>1135</v>
      </c>
      <c r="G28" s="17"/>
      <c r="H28" s="61"/>
      <c r="I28" s="50"/>
      <c r="J28" s="51"/>
      <c r="K28" s="52">
        <v>13</v>
      </c>
      <c r="L28" s="52">
        <v>16</v>
      </c>
      <c r="M28" s="52"/>
      <c r="N28" s="52"/>
      <c r="O28" s="52"/>
      <c r="P28" s="52"/>
      <c r="Q28" s="52"/>
      <c r="R28" s="52"/>
      <c r="S28" s="52"/>
      <c r="T28" s="53"/>
      <c r="U28" s="52"/>
      <c r="V28" s="52"/>
      <c r="W28" s="17">
        <f t="shared" si="1"/>
        <v>29</v>
      </c>
      <c r="X28" s="126">
        <v>3</v>
      </c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7">
        <f t="shared" si="2"/>
        <v>3</v>
      </c>
    </row>
    <row r="29" spans="1:36" ht="15" thickBot="1">
      <c r="A29" s="110" t="s">
        <v>79</v>
      </c>
      <c r="B29" s="103" t="s">
        <v>83</v>
      </c>
      <c r="C29" s="63"/>
      <c r="D29" s="63"/>
      <c r="E29" s="17">
        <v>111</v>
      </c>
      <c r="F29" s="49">
        <f t="shared" si="6"/>
        <v>113</v>
      </c>
      <c r="G29" s="17"/>
      <c r="H29" s="61"/>
      <c r="I29" s="50"/>
      <c r="J29" s="51"/>
      <c r="K29" s="52"/>
      <c r="L29" s="52">
        <v>2</v>
      </c>
      <c r="M29" s="52"/>
      <c r="N29" s="52"/>
      <c r="O29" s="52"/>
      <c r="P29" s="52"/>
      <c r="Q29" s="52"/>
      <c r="R29" s="52"/>
      <c r="S29" s="52"/>
      <c r="T29" s="53"/>
      <c r="U29" s="52"/>
      <c r="V29" s="52"/>
      <c r="W29" s="17">
        <f t="shared" si="1"/>
        <v>2</v>
      </c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7">
        <f t="shared" si="2"/>
        <v>0</v>
      </c>
    </row>
    <row r="30" spans="1:36" ht="15" thickBot="1">
      <c r="A30" s="110" t="s">
        <v>79</v>
      </c>
      <c r="B30" s="103" t="s">
        <v>84</v>
      </c>
      <c r="C30" s="63"/>
      <c r="D30" s="63"/>
      <c r="E30" s="17">
        <v>723</v>
      </c>
      <c r="F30" s="49">
        <f t="shared" si="6"/>
        <v>729</v>
      </c>
      <c r="G30" s="17"/>
      <c r="H30" s="61"/>
      <c r="I30" s="50"/>
      <c r="J30" s="51"/>
      <c r="K30" s="52">
        <v>2</v>
      </c>
      <c r="L30" s="52">
        <v>4</v>
      </c>
      <c r="M30" s="52"/>
      <c r="N30" s="52"/>
      <c r="O30" s="52"/>
      <c r="P30" s="52"/>
      <c r="Q30" s="52"/>
      <c r="R30" s="52"/>
      <c r="S30" s="52"/>
      <c r="T30" s="53"/>
      <c r="U30" s="52"/>
      <c r="V30" s="52"/>
      <c r="W30" s="17">
        <f t="shared" si="1"/>
        <v>6</v>
      </c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7">
        <f t="shared" si="2"/>
        <v>0</v>
      </c>
    </row>
    <row r="31" spans="1:36" ht="15" thickBot="1">
      <c r="A31" s="110" t="s">
        <v>79</v>
      </c>
      <c r="B31" s="103" t="s">
        <v>85</v>
      </c>
      <c r="C31" s="63"/>
      <c r="D31" s="63"/>
      <c r="E31" s="17">
        <v>30</v>
      </c>
      <c r="F31" s="49">
        <f t="shared" si="6"/>
        <v>30</v>
      </c>
      <c r="G31" s="17"/>
      <c r="H31" s="61"/>
      <c r="I31" s="50"/>
      <c r="J31" s="51"/>
      <c r="K31" s="52"/>
      <c r="L31" s="52"/>
      <c r="M31" s="52"/>
      <c r="N31" s="52"/>
      <c r="O31" s="52"/>
      <c r="P31" s="52"/>
      <c r="Q31" s="52"/>
      <c r="R31" s="52"/>
      <c r="S31" s="52"/>
      <c r="T31" s="53"/>
      <c r="U31" s="52"/>
      <c r="V31" s="52"/>
      <c r="W31" s="17">
        <f t="shared" si="1"/>
        <v>0</v>
      </c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7">
        <f t="shared" si="2"/>
        <v>0</v>
      </c>
    </row>
    <row r="32" spans="1:36" ht="15" thickBot="1">
      <c r="A32" s="110" t="s">
        <v>79</v>
      </c>
      <c r="B32" s="103" t="s">
        <v>86</v>
      </c>
      <c r="C32" s="63"/>
      <c r="D32" s="63"/>
      <c r="E32" s="17">
        <v>35</v>
      </c>
      <c r="F32" s="49">
        <f t="shared" si="6"/>
        <v>35</v>
      </c>
      <c r="G32" s="17"/>
      <c r="H32" s="61"/>
      <c r="I32" s="50"/>
      <c r="J32" s="51"/>
      <c r="K32" s="52"/>
      <c r="L32" s="52"/>
      <c r="M32" s="52"/>
      <c r="N32" s="52"/>
      <c r="O32" s="52"/>
      <c r="P32" s="52"/>
      <c r="Q32" s="52"/>
      <c r="R32" s="52"/>
      <c r="S32" s="52"/>
      <c r="T32" s="53"/>
      <c r="U32" s="52"/>
      <c r="V32" s="52"/>
      <c r="W32" s="17">
        <f t="shared" si="1"/>
        <v>0</v>
      </c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7">
        <f t="shared" si="2"/>
        <v>0</v>
      </c>
    </row>
    <row r="33" spans="1:36" ht="15" thickBot="1">
      <c r="A33" s="110" t="s">
        <v>79</v>
      </c>
      <c r="B33" s="103" t="s">
        <v>87</v>
      </c>
      <c r="C33" s="63"/>
      <c r="D33" s="63"/>
      <c r="E33" s="17">
        <v>76</v>
      </c>
      <c r="F33" s="49">
        <f t="shared" si="6"/>
        <v>77</v>
      </c>
      <c r="G33" s="17"/>
      <c r="H33" s="61"/>
      <c r="I33" s="50"/>
      <c r="J33" s="51"/>
      <c r="K33" s="52"/>
      <c r="L33" s="52">
        <v>1</v>
      </c>
      <c r="M33" s="52"/>
      <c r="N33" s="52"/>
      <c r="O33" s="52"/>
      <c r="P33" s="52"/>
      <c r="Q33" s="52"/>
      <c r="R33" s="52"/>
      <c r="S33" s="52"/>
      <c r="T33" s="53"/>
      <c r="U33" s="52"/>
      <c r="V33" s="52"/>
      <c r="W33" s="17">
        <f t="shared" si="1"/>
        <v>1</v>
      </c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7">
        <f t="shared" si="2"/>
        <v>0</v>
      </c>
    </row>
    <row r="34" spans="1:36" ht="15" thickBot="1">
      <c r="A34" s="110" t="s">
        <v>79</v>
      </c>
      <c r="B34" s="103" t="s">
        <v>88</v>
      </c>
      <c r="C34" s="63"/>
      <c r="D34" s="63"/>
      <c r="E34" s="17">
        <v>16</v>
      </c>
      <c r="F34" s="49">
        <f t="shared" si="6"/>
        <v>16</v>
      </c>
      <c r="G34" s="17"/>
      <c r="H34" s="61"/>
      <c r="I34" s="50"/>
      <c r="J34" s="51"/>
      <c r="K34" s="52"/>
      <c r="L34" s="52"/>
      <c r="M34" s="52"/>
      <c r="N34" s="52"/>
      <c r="O34" s="52"/>
      <c r="P34" s="52"/>
      <c r="Q34" s="52"/>
      <c r="R34" s="52"/>
      <c r="S34" s="52"/>
      <c r="T34" s="53"/>
      <c r="U34" s="52"/>
      <c r="V34" s="52"/>
      <c r="W34" s="17">
        <f t="shared" si="1"/>
        <v>0</v>
      </c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7">
        <f t="shared" si="2"/>
        <v>0</v>
      </c>
    </row>
    <row r="35" spans="1:36" ht="15" thickBot="1">
      <c r="A35" s="110" t="s">
        <v>79</v>
      </c>
      <c r="B35" s="103" t="s">
        <v>89</v>
      </c>
      <c r="C35" s="63"/>
      <c r="D35" s="63"/>
      <c r="E35" s="17"/>
      <c r="F35" s="49">
        <f t="shared" si="6"/>
        <v>0</v>
      </c>
      <c r="G35" s="17"/>
      <c r="H35" s="61"/>
      <c r="I35" s="50"/>
      <c r="J35" s="51"/>
      <c r="K35" s="52"/>
      <c r="L35" s="52"/>
      <c r="M35" s="52"/>
      <c r="N35" s="52"/>
      <c r="O35" s="52"/>
      <c r="P35" s="52"/>
      <c r="Q35" s="52"/>
      <c r="R35" s="52"/>
      <c r="S35" s="52"/>
      <c r="T35" s="53"/>
      <c r="U35" s="52"/>
      <c r="V35" s="52"/>
      <c r="W35" s="17">
        <f t="shared" si="1"/>
        <v>0</v>
      </c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7">
        <f t="shared" si="2"/>
        <v>0</v>
      </c>
    </row>
    <row r="36" spans="1:39" ht="15" thickBot="1">
      <c r="A36" s="196" t="s">
        <v>201</v>
      </c>
      <c r="B36" s="197"/>
      <c r="C36" s="45">
        <f>+D36/Metas!Q28</f>
        <v>0.6141502085099594</v>
      </c>
      <c r="D36" s="19">
        <f>+F36/AK36</f>
        <v>0.13511304587219106</v>
      </c>
      <c r="E36" s="14">
        <f aca="true" t="shared" si="7" ref="E36:V36">SUM(E26:E35)</f>
        <v>3100</v>
      </c>
      <c r="F36" s="14">
        <f>SUM(F26:F35)</f>
        <v>3141</v>
      </c>
      <c r="G36" s="14">
        <f t="shared" si="7"/>
        <v>0</v>
      </c>
      <c r="H36" s="14">
        <f t="shared" si="7"/>
        <v>0</v>
      </c>
      <c r="I36" s="14">
        <f>SUM(I26:I35)</f>
        <v>0</v>
      </c>
      <c r="J36" s="14">
        <f t="shared" si="7"/>
        <v>0</v>
      </c>
      <c r="K36" s="14">
        <f t="shared" si="7"/>
        <v>24</v>
      </c>
      <c r="L36" s="14">
        <f t="shared" si="7"/>
        <v>34</v>
      </c>
      <c r="M36" s="14">
        <f t="shared" si="7"/>
        <v>0</v>
      </c>
      <c r="N36" s="14">
        <f t="shared" si="7"/>
        <v>0</v>
      </c>
      <c r="O36" s="14">
        <f t="shared" si="7"/>
        <v>0</v>
      </c>
      <c r="P36" s="14">
        <f t="shared" si="7"/>
        <v>0</v>
      </c>
      <c r="Q36" s="14">
        <f t="shared" si="7"/>
        <v>0</v>
      </c>
      <c r="R36" s="14">
        <f t="shared" si="7"/>
        <v>0</v>
      </c>
      <c r="S36" s="14">
        <f t="shared" si="7"/>
        <v>0</v>
      </c>
      <c r="T36" s="14">
        <f t="shared" si="7"/>
        <v>0</v>
      </c>
      <c r="U36" s="14">
        <f t="shared" si="7"/>
        <v>0</v>
      </c>
      <c r="V36" s="14">
        <f t="shared" si="7"/>
        <v>0</v>
      </c>
      <c r="W36" s="14">
        <f t="shared" si="1"/>
        <v>58</v>
      </c>
      <c r="X36" s="14">
        <f aca="true" t="shared" si="8" ref="X36:AI36">SUM(X26:X35)</f>
        <v>17</v>
      </c>
      <c r="Y36" s="14">
        <f t="shared" si="8"/>
        <v>0</v>
      </c>
      <c r="Z36" s="14">
        <f t="shared" si="8"/>
        <v>0</v>
      </c>
      <c r="AA36" s="14">
        <f t="shared" si="8"/>
        <v>0</v>
      </c>
      <c r="AB36" s="14">
        <f t="shared" si="8"/>
        <v>0</v>
      </c>
      <c r="AC36" s="14">
        <f t="shared" si="8"/>
        <v>0</v>
      </c>
      <c r="AD36" s="14">
        <f t="shared" si="8"/>
        <v>0</v>
      </c>
      <c r="AE36" s="14">
        <f t="shared" si="8"/>
        <v>0</v>
      </c>
      <c r="AF36" s="14">
        <f t="shared" si="8"/>
        <v>0</v>
      </c>
      <c r="AG36" s="14">
        <f t="shared" si="8"/>
        <v>0</v>
      </c>
      <c r="AH36" s="14">
        <f t="shared" si="8"/>
        <v>0</v>
      </c>
      <c r="AI36" s="14">
        <f t="shared" si="8"/>
        <v>0</v>
      </c>
      <c r="AJ36" s="14">
        <f t="shared" si="2"/>
        <v>17</v>
      </c>
      <c r="AK36" s="14">
        <f>+AL36+AM36</f>
        <v>23247.2</v>
      </c>
      <c r="AL36" s="14">
        <f>173664*0.1</f>
        <v>17366.4</v>
      </c>
      <c r="AM36" s="14">
        <f>73510*0.08</f>
        <v>5880.8</v>
      </c>
    </row>
    <row r="37" spans="1:36" ht="15" thickBot="1">
      <c r="A37" s="110" t="s">
        <v>100</v>
      </c>
      <c r="B37" s="103" t="s">
        <v>90</v>
      </c>
      <c r="C37" s="63"/>
      <c r="D37" s="63"/>
      <c r="E37" s="17">
        <v>16</v>
      </c>
      <c r="F37" s="49">
        <f aca="true" t="shared" si="9" ref="F37:F46">+E37+(K37+L37+M37)-(X37+Y37+Z37)</f>
        <v>16</v>
      </c>
      <c r="G37" s="17"/>
      <c r="H37" s="61"/>
      <c r="I37" s="50"/>
      <c r="J37" s="51"/>
      <c r="K37" s="126"/>
      <c r="L37" s="126"/>
      <c r="M37" s="126"/>
      <c r="N37" s="126"/>
      <c r="O37" s="126"/>
      <c r="P37" s="126"/>
      <c r="Q37" s="126"/>
      <c r="R37" s="126"/>
      <c r="S37" s="126"/>
      <c r="T37" s="127"/>
      <c r="U37" s="126"/>
      <c r="V37" s="52"/>
      <c r="W37" s="17">
        <f t="shared" si="1"/>
        <v>0</v>
      </c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7">
        <f t="shared" si="2"/>
        <v>0</v>
      </c>
    </row>
    <row r="38" spans="1:36" ht="15" thickBot="1">
      <c r="A38" s="110" t="s">
        <v>100</v>
      </c>
      <c r="B38" s="103" t="s">
        <v>91</v>
      </c>
      <c r="C38" s="63"/>
      <c r="D38" s="63"/>
      <c r="E38" s="17">
        <v>19</v>
      </c>
      <c r="F38" s="49">
        <f t="shared" si="9"/>
        <v>20</v>
      </c>
      <c r="G38" s="17"/>
      <c r="H38" s="61"/>
      <c r="I38" s="50"/>
      <c r="J38" s="51"/>
      <c r="K38" s="126">
        <v>1</v>
      </c>
      <c r="L38" s="126"/>
      <c r="M38" s="126"/>
      <c r="N38" s="126"/>
      <c r="O38" s="126"/>
      <c r="P38" s="126"/>
      <c r="Q38" s="126"/>
      <c r="R38" s="126"/>
      <c r="S38" s="126"/>
      <c r="T38" s="127"/>
      <c r="U38" s="126"/>
      <c r="V38" s="52"/>
      <c r="W38" s="17">
        <f t="shared" si="1"/>
        <v>1</v>
      </c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7">
        <f t="shared" si="2"/>
        <v>0</v>
      </c>
    </row>
    <row r="39" spans="1:36" ht="15" thickBot="1">
      <c r="A39" s="110" t="s">
        <v>100</v>
      </c>
      <c r="B39" s="103" t="s">
        <v>92</v>
      </c>
      <c r="C39" s="63"/>
      <c r="D39" s="63"/>
      <c r="E39" s="17"/>
      <c r="F39" s="49">
        <f t="shared" si="9"/>
        <v>12</v>
      </c>
      <c r="G39" s="17"/>
      <c r="H39" s="61"/>
      <c r="I39" s="50"/>
      <c r="J39" s="51"/>
      <c r="K39" s="126">
        <v>8</v>
      </c>
      <c r="L39" s="126">
        <v>4</v>
      </c>
      <c r="M39" s="126"/>
      <c r="N39" s="126"/>
      <c r="O39" s="126"/>
      <c r="P39" s="126"/>
      <c r="Q39" s="126"/>
      <c r="R39" s="126"/>
      <c r="S39" s="126"/>
      <c r="T39" s="127"/>
      <c r="U39" s="126"/>
      <c r="V39" s="52"/>
      <c r="W39" s="17">
        <f t="shared" si="1"/>
        <v>12</v>
      </c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7">
        <f t="shared" si="2"/>
        <v>0</v>
      </c>
    </row>
    <row r="40" spans="1:36" ht="15" thickBot="1">
      <c r="A40" s="110" t="s">
        <v>100</v>
      </c>
      <c r="B40" s="103" t="s">
        <v>93</v>
      </c>
      <c r="C40" s="63"/>
      <c r="D40" s="63"/>
      <c r="E40" s="17">
        <v>4</v>
      </c>
      <c r="F40" s="49">
        <f t="shared" si="9"/>
        <v>4</v>
      </c>
      <c r="G40" s="17"/>
      <c r="H40" s="61"/>
      <c r="I40" s="50"/>
      <c r="J40" s="51"/>
      <c r="K40" s="121"/>
      <c r="L40" s="121"/>
      <c r="M40" s="121"/>
      <c r="N40" s="121"/>
      <c r="O40" s="121"/>
      <c r="P40" s="121"/>
      <c r="Q40" s="121"/>
      <c r="R40" s="121"/>
      <c r="S40" s="121"/>
      <c r="T40" s="127"/>
      <c r="U40" s="126"/>
      <c r="V40" s="52"/>
      <c r="W40" s="17">
        <f t="shared" si="1"/>
        <v>0</v>
      </c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7">
        <f t="shared" si="2"/>
        <v>0</v>
      </c>
    </row>
    <row r="41" spans="1:36" ht="15" thickBot="1">
      <c r="A41" s="110" t="s">
        <v>100</v>
      </c>
      <c r="B41" s="103" t="s">
        <v>94</v>
      </c>
      <c r="C41" s="63"/>
      <c r="D41" s="63"/>
      <c r="E41" s="17">
        <v>32</v>
      </c>
      <c r="F41" s="49">
        <f t="shared" si="9"/>
        <v>32</v>
      </c>
      <c r="G41" s="17"/>
      <c r="H41" s="61"/>
      <c r="I41" s="50"/>
      <c r="J41" s="51"/>
      <c r="K41" s="126"/>
      <c r="L41" s="126"/>
      <c r="M41" s="126"/>
      <c r="N41" s="126"/>
      <c r="O41" s="126"/>
      <c r="P41" s="126"/>
      <c r="Q41" s="126"/>
      <c r="R41" s="126"/>
      <c r="S41" s="126"/>
      <c r="T41" s="127"/>
      <c r="U41" s="126"/>
      <c r="V41" s="52"/>
      <c r="W41" s="17">
        <f t="shared" si="1"/>
        <v>0</v>
      </c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7">
        <f t="shared" si="2"/>
        <v>0</v>
      </c>
    </row>
    <row r="42" spans="1:36" ht="15" thickBot="1">
      <c r="A42" s="110" t="s">
        <v>100</v>
      </c>
      <c r="B42" s="103" t="s">
        <v>95</v>
      </c>
      <c r="C42" s="63"/>
      <c r="D42" s="63"/>
      <c r="E42" s="17">
        <v>14</v>
      </c>
      <c r="F42" s="49">
        <f t="shared" si="9"/>
        <v>14</v>
      </c>
      <c r="G42" s="17"/>
      <c r="H42" s="61"/>
      <c r="I42" s="50"/>
      <c r="J42" s="51"/>
      <c r="K42" s="126"/>
      <c r="L42" s="126"/>
      <c r="M42" s="126"/>
      <c r="N42" s="126"/>
      <c r="O42" s="126"/>
      <c r="P42" s="126"/>
      <c r="Q42" s="126"/>
      <c r="R42" s="126"/>
      <c r="S42" s="126"/>
      <c r="T42" s="127"/>
      <c r="U42" s="126"/>
      <c r="V42" s="52"/>
      <c r="W42" s="17">
        <f t="shared" si="1"/>
        <v>0</v>
      </c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7">
        <f t="shared" si="2"/>
        <v>0</v>
      </c>
    </row>
    <row r="43" spans="1:36" ht="15" thickBot="1">
      <c r="A43" s="110" t="s">
        <v>100</v>
      </c>
      <c r="B43" s="103" t="s">
        <v>96</v>
      </c>
      <c r="C43" s="63"/>
      <c r="D43" s="63"/>
      <c r="E43" s="17">
        <v>17</v>
      </c>
      <c r="F43" s="49">
        <f t="shared" si="9"/>
        <v>19</v>
      </c>
      <c r="G43" s="17"/>
      <c r="H43" s="61"/>
      <c r="I43" s="50"/>
      <c r="J43" s="51"/>
      <c r="K43" s="126"/>
      <c r="L43" s="126">
        <v>2</v>
      </c>
      <c r="M43" s="126"/>
      <c r="N43" s="126"/>
      <c r="O43" s="126"/>
      <c r="P43" s="126"/>
      <c r="Q43" s="126"/>
      <c r="R43" s="126"/>
      <c r="S43" s="126"/>
      <c r="T43" s="127"/>
      <c r="U43" s="126"/>
      <c r="V43" s="52"/>
      <c r="W43" s="17">
        <f t="shared" si="1"/>
        <v>2</v>
      </c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7">
        <f t="shared" si="2"/>
        <v>0</v>
      </c>
    </row>
    <row r="44" spans="1:36" ht="15" thickBot="1">
      <c r="A44" s="110" t="s">
        <v>100</v>
      </c>
      <c r="B44" s="103" t="s">
        <v>97</v>
      </c>
      <c r="C44" s="63"/>
      <c r="D44" s="63"/>
      <c r="E44" s="17">
        <v>17</v>
      </c>
      <c r="F44" s="49">
        <f t="shared" si="9"/>
        <v>17</v>
      </c>
      <c r="G44" s="17"/>
      <c r="H44" s="61"/>
      <c r="I44" s="50"/>
      <c r="J44" s="51"/>
      <c r="K44" s="126"/>
      <c r="L44" s="126"/>
      <c r="M44" s="126"/>
      <c r="N44" s="126"/>
      <c r="O44" s="126"/>
      <c r="P44" s="126"/>
      <c r="Q44" s="126"/>
      <c r="R44" s="126"/>
      <c r="S44" s="126"/>
      <c r="T44" s="127"/>
      <c r="U44" s="126"/>
      <c r="V44" s="52"/>
      <c r="W44" s="17">
        <f t="shared" si="1"/>
        <v>0</v>
      </c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7">
        <f t="shared" si="2"/>
        <v>0</v>
      </c>
    </row>
    <row r="45" spans="1:36" ht="15" thickBot="1">
      <c r="A45" s="110" t="s">
        <v>100</v>
      </c>
      <c r="B45" s="103" t="s">
        <v>98</v>
      </c>
      <c r="C45" s="63"/>
      <c r="D45" s="63"/>
      <c r="E45" s="17">
        <v>46</v>
      </c>
      <c r="F45" s="49">
        <f t="shared" si="9"/>
        <v>47</v>
      </c>
      <c r="G45" s="17"/>
      <c r="H45" s="61"/>
      <c r="I45" s="50"/>
      <c r="J45" s="51"/>
      <c r="K45" s="126"/>
      <c r="L45" s="126">
        <v>1</v>
      </c>
      <c r="M45" s="126"/>
      <c r="N45" s="126"/>
      <c r="O45" s="126"/>
      <c r="P45" s="126"/>
      <c r="Q45" s="126"/>
      <c r="R45" s="126"/>
      <c r="S45" s="126"/>
      <c r="T45" s="127"/>
      <c r="U45" s="126"/>
      <c r="V45" s="52"/>
      <c r="W45" s="17">
        <f t="shared" si="1"/>
        <v>1</v>
      </c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7">
        <f t="shared" si="2"/>
        <v>0</v>
      </c>
    </row>
    <row r="46" spans="1:36" ht="15" thickBot="1">
      <c r="A46" s="110" t="s">
        <v>100</v>
      </c>
      <c r="B46" s="103" t="s">
        <v>99</v>
      </c>
      <c r="C46" s="63"/>
      <c r="D46" s="63"/>
      <c r="E46" s="17">
        <v>5</v>
      </c>
      <c r="F46" s="49">
        <f t="shared" si="9"/>
        <v>6</v>
      </c>
      <c r="G46" s="17"/>
      <c r="H46" s="61"/>
      <c r="I46" s="50"/>
      <c r="J46" s="51"/>
      <c r="K46" s="126">
        <v>1</v>
      </c>
      <c r="L46" s="126"/>
      <c r="M46" s="126"/>
      <c r="N46" s="126"/>
      <c r="O46" s="126"/>
      <c r="P46" s="126"/>
      <c r="Q46" s="126"/>
      <c r="R46" s="126"/>
      <c r="S46" s="126"/>
      <c r="T46" s="127"/>
      <c r="U46" s="126"/>
      <c r="V46" s="52"/>
      <c r="W46" s="17">
        <f t="shared" si="1"/>
        <v>1</v>
      </c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7">
        <f t="shared" si="2"/>
        <v>0</v>
      </c>
    </row>
    <row r="47" spans="1:39" ht="25.5" customHeight="1" thickBot="1">
      <c r="A47" s="196" t="s">
        <v>202</v>
      </c>
      <c r="B47" s="197"/>
      <c r="C47" s="45">
        <f>+D47/Metas!Q37</f>
        <v>0.5652347386620561</v>
      </c>
      <c r="D47" s="19">
        <f>+F47/AK47</f>
        <v>0.12435164250565234</v>
      </c>
      <c r="E47" s="14">
        <f aca="true" t="shared" si="10" ref="E47:K47">SUM(E37:E46)</f>
        <v>170</v>
      </c>
      <c r="F47" s="14">
        <f>SUM(F37:F46)</f>
        <v>187</v>
      </c>
      <c r="G47" s="14">
        <f t="shared" si="10"/>
        <v>0</v>
      </c>
      <c r="H47" s="14">
        <f t="shared" si="10"/>
        <v>0</v>
      </c>
      <c r="I47" s="14">
        <f>SUM(I37:I46)</f>
        <v>0</v>
      </c>
      <c r="J47" s="14">
        <f t="shared" si="10"/>
        <v>0</v>
      </c>
      <c r="K47" s="14">
        <f t="shared" si="10"/>
        <v>10</v>
      </c>
      <c r="L47" s="14">
        <f aca="true" t="shared" si="11" ref="L47:V47">SUM(L37:L46)</f>
        <v>7</v>
      </c>
      <c r="M47" s="14">
        <f t="shared" si="11"/>
        <v>0</v>
      </c>
      <c r="N47" s="14">
        <f t="shared" si="11"/>
        <v>0</v>
      </c>
      <c r="O47" s="14">
        <f t="shared" si="11"/>
        <v>0</v>
      </c>
      <c r="P47" s="14">
        <f t="shared" si="11"/>
        <v>0</v>
      </c>
      <c r="Q47" s="14">
        <f>SUM(Q37:Q46)</f>
        <v>0</v>
      </c>
      <c r="R47" s="14">
        <f t="shared" si="11"/>
        <v>0</v>
      </c>
      <c r="S47" s="14">
        <f t="shared" si="11"/>
        <v>0</v>
      </c>
      <c r="T47" s="14">
        <f t="shared" si="11"/>
        <v>0</v>
      </c>
      <c r="U47" s="14">
        <f t="shared" si="11"/>
        <v>0</v>
      </c>
      <c r="V47" s="14">
        <f t="shared" si="11"/>
        <v>0</v>
      </c>
      <c r="W47" s="14">
        <f t="shared" si="1"/>
        <v>17</v>
      </c>
      <c r="X47" s="14">
        <f aca="true" t="shared" si="12" ref="X47:AI47">SUM(X37:X46)</f>
        <v>0</v>
      </c>
      <c r="Y47" s="14">
        <f t="shared" si="12"/>
        <v>0</v>
      </c>
      <c r="Z47" s="14">
        <f t="shared" si="12"/>
        <v>0</v>
      </c>
      <c r="AA47" s="14">
        <f t="shared" si="12"/>
        <v>0</v>
      </c>
      <c r="AB47" s="14">
        <f t="shared" si="12"/>
        <v>0</v>
      </c>
      <c r="AC47" s="14">
        <f t="shared" si="12"/>
        <v>0</v>
      </c>
      <c r="AD47" s="14">
        <f t="shared" si="12"/>
        <v>0</v>
      </c>
      <c r="AE47" s="14">
        <f t="shared" si="12"/>
        <v>0</v>
      </c>
      <c r="AF47" s="14">
        <f t="shared" si="12"/>
        <v>0</v>
      </c>
      <c r="AG47" s="14">
        <f t="shared" si="12"/>
        <v>0</v>
      </c>
      <c r="AH47" s="14">
        <f t="shared" si="12"/>
        <v>0</v>
      </c>
      <c r="AI47" s="14">
        <f t="shared" si="12"/>
        <v>0</v>
      </c>
      <c r="AJ47" s="14">
        <f t="shared" si="2"/>
        <v>0</v>
      </c>
      <c r="AK47" s="14">
        <f>+AL47+AM47</f>
        <v>1503.8000000000002</v>
      </c>
      <c r="AL47" s="14">
        <f>11026*0.1</f>
        <v>1102.6000000000001</v>
      </c>
      <c r="AM47" s="14">
        <f>5015*0.08</f>
        <v>401.2</v>
      </c>
    </row>
    <row r="48" spans="1:36" ht="15" thickBot="1">
      <c r="A48" s="110" t="s">
        <v>114</v>
      </c>
      <c r="B48" s="103" t="s">
        <v>101</v>
      </c>
      <c r="C48" s="63"/>
      <c r="D48" s="63"/>
      <c r="E48" s="17">
        <v>78</v>
      </c>
      <c r="F48" s="49">
        <f aca="true" t="shared" si="13" ref="F48:F60">+E48+(K48+L48+M48)-(X48+Y48+Z48)</f>
        <v>83</v>
      </c>
      <c r="G48" s="17"/>
      <c r="H48" s="61"/>
      <c r="I48" s="50"/>
      <c r="J48" s="51"/>
      <c r="K48" s="126">
        <v>3</v>
      </c>
      <c r="L48" s="126">
        <v>2</v>
      </c>
      <c r="M48" s="126"/>
      <c r="N48" s="126"/>
      <c r="O48" s="126"/>
      <c r="P48" s="126"/>
      <c r="Q48" s="126"/>
      <c r="R48" s="126"/>
      <c r="S48" s="126"/>
      <c r="T48" s="127"/>
      <c r="U48" s="126"/>
      <c r="V48" s="126"/>
      <c r="W48" s="17">
        <f t="shared" si="1"/>
        <v>5</v>
      </c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7">
        <f t="shared" si="2"/>
        <v>0</v>
      </c>
    </row>
    <row r="49" spans="1:36" ht="15" thickBot="1">
      <c r="A49" s="110" t="s">
        <v>114</v>
      </c>
      <c r="B49" s="103" t="s">
        <v>102</v>
      </c>
      <c r="C49" s="63"/>
      <c r="D49" s="63"/>
      <c r="E49" s="17">
        <v>13</v>
      </c>
      <c r="F49" s="49">
        <f t="shared" si="13"/>
        <v>13</v>
      </c>
      <c r="G49" s="17"/>
      <c r="H49" s="61"/>
      <c r="I49" s="50"/>
      <c r="J49" s="51"/>
      <c r="K49" s="126"/>
      <c r="L49" s="126"/>
      <c r="M49" s="126"/>
      <c r="N49" s="126"/>
      <c r="O49" s="126"/>
      <c r="P49" s="126"/>
      <c r="Q49" s="126"/>
      <c r="R49" s="126"/>
      <c r="S49" s="126"/>
      <c r="T49" s="127"/>
      <c r="U49" s="126"/>
      <c r="V49" s="126"/>
      <c r="W49" s="17">
        <f t="shared" si="1"/>
        <v>0</v>
      </c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7">
        <f t="shared" si="2"/>
        <v>0</v>
      </c>
    </row>
    <row r="50" spans="1:36" ht="15" thickBot="1">
      <c r="A50" s="110" t="s">
        <v>114</v>
      </c>
      <c r="B50" s="103" t="s">
        <v>103</v>
      </c>
      <c r="C50" s="63"/>
      <c r="D50" s="63"/>
      <c r="E50" s="17">
        <v>8</v>
      </c>
      <c r="F50" s="49">
        <f t="shared" si="13"/>
        <v>9</v>
      </c>
      <c r="G50" s="17"/>
      <c r="H50" s="61"/>
      <c r="I50" s="50"/>
      <c r="J50" s="51"/>
      <c r="K50" s="126">
        <v>1</v>
      </c>
      <c r="L50" s="126"/>
      <c r="M50" s="126"/>
      <c r="N50" s="126"/>
      <c r="O50" s="126"/>
      <c r="P50" s="126"/>
      <c r="Q50" s="126"/>
      <c r="R50" s="126"/>
      <c r="S50" s="126"/>
      <c r="T50" s="127"/>
      <c r="U50" s="126"/>
      <c r="V50" s="126"/>
      <c r="W50" s="17">
        <f t="shared" si="1"/>
        <v>1</v>
      </c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7">
        <f t="shared" si="2"/>
        <v>0</v>
      </c>
    </row>
    <row r="51" spans="1:36" ht="15" thickBot="1">
      <c r="A51" s="110" t="s">
        <v>114</v>
      </c>
      <c r="B51" s="103" t="s">
        <v>104</v>
      </c>
      <c r="C51" s="63"/>
      <c r="D51" s="63"/>
      <c r="E51" s="17">
        <v>4</v>
      </c>
      <c r="F51" s="49">
        <f t="shared" si="13"/>
        <v>4</v>
      </c>
      <c r="G51" s="17"/>
      <c r="H51" s="61"/>
      <c r="I51" s="50"/>
      <c r="J51" s="51"/>
      <c r="K51" s="126"/>
      <c r="L51" s="126"/>
      <c r="M51" s="126"/>
      <c r="N51" s="126"/>
      <c r="O51" s="126"/>
      <c r="P51" s="126"/>
      <c r="Q51" s="126"/>
      <c r="R51" s="126"/>
      <c r="S51" s="126"/>
      <c r="T51" s="127"/>
      <c r="U51" s="126"/>
      <c r="V51" s="126"/>
      <c r="W51" s="17">
        <f t="shared" si="1"/>
        <v>0</v>
      </c>
      <c r="X51" s="121"/>
      <c r="Y51" s="121"/>
      <c r="Z51" s="121"/>
      <c r="AA51" s="121"/>
      <c r="AB51" s="121"/>
      <c r="AC51" s="121"/>
      <c r="AD51" s="121"/>
      <c r="AE51" s="121"/>
      <c r="AF51" s="121"/>
      <c r="AG51" s="126"/>
      <c r="AH51" s="126"/>
      <c r="AI51" s="126"/>
      <c r="AJ51" s="17">
        <f t="shared" si="2"/>
        <v>0</v>
      </c>
    </row>
    <row r="52" spans="1:36" ht="15" thickBot="1">
      <c r="A52" s="110" t="s">
        <v>114</v>
      </c>
      <c r="B52" s="103" t="s">
        <v>105</v>
      </c>
      <c r="C52" s="63"/>
      <c r="D52" s="63"/>
      <c r="E52" s="17">
        <v>4</v>
      </c>
      <c r="F52" s="49">
        <f t="shared" si="13"/>
        <v>4</v>
      </c>
      <c r="G52" s="17"/>
      <c r="H52" s="61"/>
      <c r="I52" s="50"/>
      <c r="J52" s="51"/>
      <c r="K52" s="126"/>
      <c r="L52" s="126"/>
      <c r="M52" s="126"/>
      <c r="N52" s="126"/>
      <c r="O52" s="126"/>
      <c r="P52" s="126"/>
      <c r="Q52" s="126"/>
      <c r="R52" s="126"/>
      <c r="S52" s="126"/>
      <c r="T52" s="127"/>
      <c r="U52" s="126"/>
      <c r="V52" s="126"/>
      <c r="W52" s="17">
        <f t="shared" si="1"/>
        <v>0</v>
      </c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7">
        <f t="shared" si="2"/>
        <v>0</v>
      </c>
    </row>
    <row r="53" spans="1:36" ht="15" thickBot="1">
      <c r="A53" s="110" t="s">
        <v>114</v>
      </c>
      <c r="B53" s="103" t="s">
        <v>106</v>
      </c>
      <c r="C53" s="63"/>
      <c r="D53" s="63"/>
      <c r="E53" s="17">
        <v>8</v>
      </c>
      <c r="F53" s="49">
        <f t="shared" si="13"/>
        <v>8</v>
      </c>
      <c r="G53" s="17"/>
      <c r="H53" s="61"/>
      <c r="I53" s="50"/>
      <c r="J53" s="51"/>
      <c r="K53" s="126"/>
      <c r="L53" s="126"/>
      <c r="M53" s="126"/>
      <c r="N53" s="126"/>
      <c r="O53" s="126"/>
      <c r="P53" s="126"/>
      <c r="Q53" s="126"/>
      <c r="R53" s="126"/>
      <c r="S53" s="126"/>
      <c r="T53" s="127"/>
      <c r="U53" s="126"/>
      <c r="V53" s="126"/>
      <c r="W53" s="17">
        <f t="shared" si="1"/>
        <v>0</v>
      </c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7">
        <f t="shared" si="2"/>
        <v>0</v>
      </c>
    </row>
    <row r="54" spans="1:36" ht="15" thickBot="1">
      <c r="A54" s="110" t="s">
        <v>114</v>
      </c>
      <c r="B54" s="103" t="s">
        <v>107</v>
      </c>
      <c r="C54" s="63"/>
      <c r="D54" s="63"/>
      <c r="E54" s="17">
        <v>4</v>
      </c>
      <c r="F54" s="49">
        <f t="shared" si="13"/>
        <v>4</v>
      </c>
      <c r="G54" s="17"/>
      <c r="H54" s="61"/>
      <c r="I54" s="50"/>
      <c r="J54" s="51"/>
      <c r="K54" s="126"/>
      <c r="L54" s="126"/>
      <c r="M54" s="126"/>
      <c r="N54" s="126"/>
      <c r="O54" s="126"/>
      <c r="P54" s="126"/>
      <c r="Q54" s="126"/>
      <c r="R54" s="126"/>
      <c r="S54" s="126"/>
      <c r="T54" s="127"/>
      <c r="U54" s="126"/>
      <c r="V54" s="126"/>
      <c r="W54" s="17">
        <f t="shared" si="1"/>
        <v>0</v>
      </c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7">
        <f t="shared" si="2"/>
        <v>0</v>
      </c>
    </row>
    <row r="55" spans="1:36" ht="15" thickBot="1">
      <c r="A55" s="110" t="s">
        <v>114</v>
      </c>
      <c r="B55" s="103" t="s">
        <v>108</v>
      </c>
      <c r="C55" s="63"/>
      <c r="D55" s="63"/>
      <c r="E55" s="17">
        <v>5</v>
      </c>
      <c r="F55" s="49">
        <f t="shared" si="13"/>
        <v>5</v>
      </c>
      <c r="G55" s="17"/>
      <c r="H55" s="61"/>
      <c r="I55" s="50"/>
      <c r="J55" s="51"/>
      <c r="K55" s="126"/>
      <c r="L55" s="126"/>
      <c r="M55" s="126"/>
      <c r="N55" s="126"/>
      <c r="O55" s="126"/>
      <c r="P55" s="126"/>
      <c r="Q55" s="126"/>
      <c r="R55" s="126"/>
      <c r="S55" s="126"/>
      <c r="T55" s="127"/>
      <c r="U55" s="126"/>
      <c r="V55" s="126"/>
      <c r="W55" s="17">
        <f t="shared" si="1"/>
        <v>0</v>
      </c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7">
        <f t="shared" si="2"/>
        <v>0</v>
      </c>
    </row>
    <row r="56" spans="1:36" ht="15" thickBot="1">
      <c r="A56" s="110" t="s">
        <v>114</v>
      </c>
      <c r="B56" s="103" t="s">
        <v>109</v>
      </c>
      <c r="C56" s="63"/>
      <c r="D56" s="63"/>
      <c r="E56" s="17">
        <v>13</v>
      </c>
      <c r="F56" s="49">
        <f t="shared" si="13"/>
        <v>13</v>
      </c>
      <c r="G56" s="17"/>
      <c r="H56" s="61"/>
      <c r="I56" s="50"/>
      <c r="J56" s="51"/>
      <c r="K56" s="126"/>
      <c r="L56" s="126"/>
      <c r="M56" s="126"/>
      <c r="N56" s="126"/>
      <c r="O56" s="126"/>
      <c r="P56" s="126"/>
      <c r="Q56" s="126"/>
      <c r="R56" s="126"/>
      <c r="S56" s="126"/>
      <c r="T56" s="127"/>
      <c r="U56" s="126"/>
      <c r="V56" s="126"/>
      <c r="W56" s="17">
        <f t="shared" si="1"/>
        <v>0</v>
      </c>
      <c r="X56" s="121"/>
      <c r="Y56" s="121"/>
      <c r="Z56" s="121"/>
      <c r="AA56" s="121"/>
      <c r="AB56" s="121"/>
      <c r="AC56" s="121"/>
      <c r="AD56" s="121"/>
      <c r="AE56" s="121"/>
      <c r="AF56" s="121"/>
      <c r="AG56" s="126"/>
      <c r="AH56" s="126"/>
      <c r="AI56" s="126"/>
      <c r="AJ56" s="17">
        <f t="shared" si="2"/>
        <v>0</v>
      </c>
    </row>
    <row r="57" spans="1:36" ht="15" thickBot="1">
      <c r="A57" s="110" t="s">
        <v>114</v>
      </c>
      <c r="B57" s="103" t="s">
        <v>110</v>
      </c>
      <c r="C57" s="63"/>
      <c r="D57" s="63"/>
      <c r="E57" s="17">
        <v>4</v>
      </c>
      <c r="F57" s="49">
        <f t="shared" si="13"/>
        <v>4</v>
      </c>
      <c r="G57" s="17"/>
      <c r="H57" s="61"/>
      <c r="I57" s="50"/>
      <c r="J57" s="51"/>
      <c r="K57" s="126"/>
      <c r="L57" s="126"/>
      <c r="M57" s="126"/>
      <c r="N57" s="126"/>
      <c r="O57" s="126"/>
      <c r="P57" s="126"/>
      <c r="Q57" s="126"/>
      <c r="R57" s="126"/>
      <c r="S57" s="126"/>
      <c r="T57" s="127"/>
      <c r="U57" s="126"/>
      <c r="V57" s="126"/>
      <c r="W57" s="17">
        <f t="shared" si="1"/>
        <v>0</v>
      </c>
      <c r="X57" s="121"/>
      <c r="Y57" s="121"/>
      <c r="Z57" s="121"/>
      <c r="AA57" s="121"/>
      <c r="AB57" s="121"/>
      <c r="AC57" s="121"/>
      <c r="AD57" s="121"/>
      <c r="AE57" s="121"/>
      <c r="AF57" s="121"/>
      <c r="AG57" s="126"/>
      <c r="AH57" s="126"/>
      <c r="AI57" s="126"/>
      <c r="AJ57" s="17">
        <f t="shared" si="2"/>
        <v>0</v>
      </c>
    </row>
    <row r="58" spans="1:36" ht="15" thickBot="1">
      <c r="A58" s="110" t="s">
        <v>114</v>
      </c>
      <c r="B58" s="103" t="s">
        <v>111</v>
      </c>
      <c r="C58" s="63"/>
      <c r="D58" s="63"/>
      <c r="E58" s="17">
        <v>37</v>
      </c>
      <c r="F58" s="49">
        <f t="shared" si="13"/>
        <v>38</v>
      </c>
      <c r="G58" s="17"/>
      <c r="H58" s="61"/>
      <c r="I58" s="50"/>
      <c r="J58" s="51"/>
      <c r="K58" s="126">
        <v>1</v>
      </c>
      <c r="L58" s="126"/>
      <c r="M58" s="126"/>
      <c r="N58" s="126"/>
      <c r="O58" s="126"/>
      <c r="P58" s="126"/>
      <c r="Q58" s="126"/>
      <c r="R58" s="126"/>
      <c r="S58" s="126"/>
      <c r="T58" s="127"/>
      <c r="U58" s="126"/>
      <c r="V58" s="126"/>
      <c r="W58" s="17">
        <f t="shared" si="1"/>
        <v>1</v>
      </c>
      <c r="X58" s="121"/>
      <c r="Y58" s="121"/>
      <c r="Z58" s="121"/>
      <c r="AA58" s="121"/>
      <c r="AB58" s="121"/>
      <c r="AC58" s="121"/>
      <c r="AD58" s="121"/>
      <c r="AE58" s="121"/>
      <c r="AF58" s="121"/>
      <c r="AG58" s="126"/>
      <c r="AH58" s="126"/>
      <c r="AI58" s="126"/>
      <c r="AJ58" s="17">
        <f t="shared" si="2"/>
        <v>0</v>
      </c>
    </row>
    <row r="59" spans="1:36" ht="15" thickBot="1">
      <c r="A59" s="110" t="s">
        <v>114</v>
      </c>
      <c r="B59" s="103" t="s">
        <v>112</v>
      </c>
      <c r="C59" s="63"/>
      <c r="D59" s="63"/>
      <c r="E59" s="17">
        <v>2</v>
      </c>
      <c r="F59" s="49">
        <f t="shared" si="13"/>
        <v>2</v>
      </c>
      <c r="G59" s="17"/>
      <c r="H59" s="61"/>
      <c r="I59" s="50"/>
      <c r="J59" s="5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7">
        <f t="shared" si="1"/>
        <v>0</v>
      </c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7">
        <f t="shared" si="2"/>
        <v>0</v>
      </c>
    </row>
    <row r="60" spans="1:36" ht="15" thickBot="1">
      <c r="A60" s="110" t="s">
        <v>114</v>
      </c>
      <c r="B60" s="103" t="s">
        <v>113</v>
      </c>
      <c r="C60" s="63"/>
      <c r="D60" s="63"/>
      <c r="E60" s="17">
        <v>2</v>
      </c>
      <c r="F60" s="49">
        <f t="shared" si="13"/>
        <v>3</v>
      </c>
      <c r="G60" s="17"/>
      <c r="H60" s="61"/>
      <c r="I60" s="50"/>
      <c r="J60" s="51"/>
      <c r="K60" s="126">
        <v>1</v>
      </c>
      <c r="L60" s="126"/>
      <c r="M60" s="126"/>
      <c r="N60" s="126"/>
      <c r="O60" s="126"/>
      <c r="P60" s="126"/>
      <c r="Q60" s="126"/>
      <c r="R60" s="126"/>
      <c r="S60" s="126"/>
      <c r="T60" s="127"/>
      <c r="U60" s="126"/>
      <c r="V60" s="126"/>
      <c r="W60" s="17">
        <f t="shared" si="1"/>
        <v>1</v>
      </c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7">
        <f t="shared" si="2"/>
        <v>0</v>
      </c>
    </row>
    <row r="61" spans="1:39" ht="15" thickBot="1">
      <c r="A61" s="196" t="s">
        <v>203</v>
      </c>
      <c r="B61" s="197"/>
      <c r="C61" s="45">
        <f>+D61/Metas!Q29</f>
        <v>0.5285218190497065</v>
      </c>
      <c r="D61" s="19">
        <f>+F61/AK61</f>
        <v>0.11627480019093545</v>
      </c>
      <c r="E61" s="14">
        <f aca="true" t="shared" si="14" ref="E61:J61">SUM(E48:E60)</f>
        <v>182</v>
      </c>
      <c r="F61" s="14">
        <f>SUM(F48:F60)</f>
        <v>190</v>
      </c>
      <c r="G61" s="14">
        <f t="shared" si="14"/>
        <v>0</v>
      </c>
      <c r="H61" s="14">
        <f t="shared" si="14"/>
        <v>0</v>
      </c>
      <c r="I61" s="14">
        <f>SUM(I48:I60)</f>
        <v>0</v>
      </c>
      <c r="J61" s="14">
        <f t="shared" si="14"/>
        <v>0</v>
      </c>
      <c r="K61" s="14">
        <f aca="true" t="shared" si="15" ref="K61:V61">SUM(K48:K60)</f>
        <v>6</v>
      </c>
      <c r="L61" s="14">
        <f t="shared" si="15"/>
        <v>2</v>
      </c>
      <c r="M61" s="14">
        <f t="shared" si="15"/>
        <v>0</v>
      </c>
      <c r="N61" s="14">
        <f t="shared" si="15"/>
        <v>0</v>
      </c>
      <c r="O61" s="14">
        <f t="shared" si="15"/>
        <v>0</v>
      </c>
      <c r="P61" s="14">
        <f t="shared" si="15"/>
        <v>0</v>
      </c>
      <c r="Q61" s="14">
        <f t="shared" si="15"/>
        <v>0</v>
      </c>
      <c r="R61" s="14">
        <f t="shared" si="15"/>
        <v>0</v>
      </c>
      <c r="S61" s="14">
        <f t="shared" si="15"/>
        <v>0</v>
      </c>
      <c r="T61" s="14">
        <f t="shared" si="15"/>
        <v>0</v>
      </c>
      <c r="U61" s="14">
        <f t="shared" si="15"/>
        <v>0</v>
      </c>
      <c r="V61" s="14">
        <f t="shared" si="15"/>
        <v>0</v>
      </c>
      <c r="W61" s="14">
        <f t="shared" si="1"/>
        <v>8</v>
      </c>
      <c r="X61" s="14">
        <f aca="true" t="shared" si="16" ref="X61:AI61">SUM(X48:X60)</f>
        <v>0</v>
      </c>
      <c r="Y61" s="14">
        <f t="shared" si="16"/>
        <v>0</v>
      </c>
      <c r="Z61" s="14">
        <f t="shared" si="16"/>
        <v>0</v>
      </c>
      <c r="AA61" s="14">
        <f t="shared" si="16"/>
        <v>0</v>
      </c>
      <c r="AB61" s="14">
        <f t="shared" si="16"/>
        <v>0</v>
      </c>
      <c r="AC61" s="14">
        <f t="shared" si="16"/>
        <v>0</v>
      </c>
      <c r="AD61" s="14">
        <f t="shared" si="16"/>
        <v>0</v>
      </c>
      <c r="AE61" s="14">
        <f t="shared" si="16"/>
        <v>0</v>
      </c>
      <c r="AF61" s="14">
        <f t="shared" si="16"/>
        <v>0</v>
      </c>
      <c r="AG61" s="14">
        <f t="shared" si="16"/>
        <v>0</v>
      </c>
      <c r="AH61" s="14">
        <f t="shared" si="16"/>
        <v>0</v>
      </c>
      <c r="AI61" s="14">
        <f t="shared" si="16"/>
        <v>0</v>
      </c>
      <c r="AJ61" s="14">
        <f t="shared" si="2"/>
        <v>0</v>
      </c>
      <c r="AK61" s="14">
        <f>+AL61+AM61</f>
        <v>1634.0600000000002</v>
      </c>
      <c r="AL61" s="14">
        <f>12119*0.1</f>
        <v>1211.9</v>
      </c>
      <c r="AM61" s="14">
        <f>5277*0.08</f>
        <v>422.16</v>
      </c>
    </row>
    <row r="62" spans="1:36" ht="15" thickBot="1">
      <c r="A62" s="110" t="s">
        <v>125</v>
      </c>
      <c r="B62" s="103" t="s">
        <v>115</v>
      </c>
      <c r="C62" s="63"/>
      <c r="D62" s="63"/>
      <c r="E62" s="17">
        <v>124</v>
      </c>
      <c r="F62" s="49">
        <f aca="true" t="shared" si="17" ref="F62:F71">+E62+(K62+L62+M62)-(X62+Y62+Z62)</f>
        <v>124</v>
      </c>
      <c r="G62" s="17"/>
      <c r="H62" s="61"/>
      <c r="I62" s="50"/>
      <c r="J62" s="51"/>
      <c r="K62" s="126"/>
      <c r="L62" s="126"/>
      <c r="M62" s="126"/>
      <c r="N62" s="126"/>
      <c r="O62" s="126"/>
      <c r="P62" s="126"/>
      <c r="Q62" s="126"/>
      <c r="R62" s="126"/>
      <c r="S62" s="126"/>
      <c r="T62" s="127"/>
      <c r="U62" s="126"/>
      <c r="V62" s="126"/>
      <c r="W62" s="17">
        <f t="shared" si="1"/>
        <v>0</v>
      </c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7">
        <f t="shared" si="2"/>
        <v>0</v>
      </c>
    </row>
    <row r="63" spans="1:36" ht="15" thickBot="1">
      <c r="A63" s="110" t="s">
        <v>125</v>
      </c>
      <c r="B63" s="103" t="s">
        <v>116</v>
      </c>
      <c r="C63" s="63"/>
      <c r="D63" s="63"/>
      <c r="E63" s="17">
        <v>32</v>
      </c>
      <c r="F63" s="49">
        <f t="shared" si="17"/>
        <v>32</v>
      </c>
      <c r="G63" s="17"/>
      <c r="H63" s="61"/>
      <c r="I63" s="50"/>
      <c r="J63" s="51"/>
      <c r="K63" s="126"/>
      <c r="L63" s="126"/>
      <c r="M63" s="126"/>
      <c r="N63" s="126"/>
      <c r="O63" s="126"/>
      <c r="P63" s="126"/>
      <c r="Q63" s="126"/>
      <c r="R63" s="126"/>
      <c r="S63" s="126"/>
      <c r="T63" s="127"/>
      <c r="U63" s="126"/>
      <c r="V63" s="126"/>
      <c r="W63" s="17">
        <f t="shared" si="1"/>
        <v>0</v>
      </c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7">
        <f t="shared" si="2"/>
        <v>0</v>
      </c>
    </row>
    <row r="64" spans="1:36" ht="15" thickBot="1">
      <c r="A64" s="110" t="s">
        <v>125</v>
      </c>
      <c r="B64" s="103" t="s">
        <v>117</v>
      </c>
      <c r="C64" s="63"/>
      <c r="D64" s="63"/>
      <c r="E64" s="17">
        <v>7</v>
      </c>
      <c r="F64" s="49">
        <f t="shared" si="17"/>
        <v>7</v>
      </c>
      <c r="G64" s="17"/>
      <c r="H64" s="61"/>
      <c r="I64" s="50"/>
      <c r="J64" s="51"/>
      <c r="K64" s="126"/>
      <c r="L64" s="126"/>
      <c r="M64" s="126"/>
      <c r="N64" s="126"/>
      <c r="O64" s="126"/>
      <c r="P64" s="126"/>
      <c r="Q64" s="126"/>
      <c r="R64" s="126"/>
      <c r="S64" s="126"/>
      <c r="T64" s="127"/>
      <c r="U64" s="126"/>
      <c r="V64" s="126"/>
      <c r="W64" s="17">
        <f t="shared" si="1"/>
        <v>0</v>
      </c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7">
        <f t="shared" si="2"/>
        <v>0</v>
      </c>
    </row>
    <row r="65" spans="1:36" ht="15" thickBot="1">
      <c r="A65" s="110" t="s">
        <v>125</v>
      </c>
      <c r="B65" s="103" t="s">
        <v>118</v>
      </c>
      <c r="C65" s="63"/>
      <c r="D65" s="63"/>
      <c r="E65" s="17">
        <v>17</v>
      </c>
      <c r="F65" s="49">
        <f t="shared" si="17"/>
        <v>17</v>
      </c>
      <c r="G65" s="17"/>
      <c r="H65" s="61"/>
      <c r="I65" s="50"/>
      <c r="J65" s="51"/>
      <c r="K65" s="126"/>
      <c r="L65" s="126"/>
      <c r="M65" s="126"/>
      <c r="N65" s="126"/>
      <c r="O65" s="126"/>
      <c r="P65" s="126"/>
      <c r="Q65" s="126"/>
      <c r="R65" s="126"/>
      <c r="S65" s="126"/>
      <c r="T65" s="127"/>
      <c r="U65" s="126"/>
      <c r="V65" s="126"/>
      <c r="W65" s="17">
        <f t="shared" si="1"/>
        <v>0</v>
      </c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7">
        <f t="shared" si="2"/>
        <v>0</v>
      </c>
    </row>
    <row r="66" spans="1:36" ht="15" thickBot="1">
      <c r="A66" s="110" t="s">
        <v>125</v>
      </c>
      <c r="B66" s="103" t="s">
        <v>119</v>
      </c>
      <c r="C66" s="63"/>
      <c r="D66" s="63"/>
      <c r="E66" s="17">
        <v>6</v>
      </c>
      <c r="F66" s="49">
        <f t="shared" si="17"/>
        <v>6</v>
      </c>
      <c r="G66" s="17"/>
      <c r="H66" s="61"/>
      <c r="I66" s="50"/>
      <c r="J66" s="51"/>
      <c r="K66" s="121"/>
      <c r="L66" s="121"/>
      <c r="M66" s="121"/>
      <c r="N66" s="121"/>
      <c r="O66" s="121"/>
      <c r="P66" s="121"/>
      <c r="Q66" s="121"/>
      <c r="R66" s="121"/>
      <c r="S66" s="126"/>
      <c r="T66" s="127"/>
      <c r="U66" s="126"/>
      <c r="V66" s="126"/>
      <c r="W66" s="17">
        <f t="shared" si="1"/>
        <v>0</v>
      </c>
      <c r="X66" s="121"/>
      <c r="Y66" s="121"/>
      <c r="Z66" s="121"/>
      <c r="AA66" s="121"/>
      <c r="AB66" s="121"/>
      <c r="AC66" s="121"/>
      <c r="AD66" s="121"/>
      <c r="AE66" s="126"/>
      <c r="AF66" s="126"/>
      <c r="AG66" s="126"/>
      <c r="AH66" s="126"/>
      <c r="AI66" s="126"/>
      <c r="AJ66" s="17">
        <f t="shared" si="2"/>
        <v>0</v>
      </c>
    </row>
    <row r="67" spans="1:36" ht="15" thickBot="1">
      <c r="A67" s="110" t="s">
        <v>125</v>
      </c>
      <c r="B67" s="103" t="s">
        <v>120</v>
      </c>
      <c r="C67" s="63"/>
      <c r="D67" s="63"/>
      <c r="E67" s="17">
        <v>11</v>
      </c>
      <c r="F67" s="49">
        <f t="shared" si="17"/>
        <v>11</v>
      </c>
      <c r="G67" s="17"/>
      <c r="H67" s="61"/>
      <c r="I67" s="50"/>
      <c r="J67" s="51"/>
      <c r="K67" s="126"/>
      <c r="L67" s="126"/>
      <c r="M67" s="126"/>
      <c r="N67" s="126"/>
      <c r="O67" s="126"/>
      <c r="P67" s="126"/>
      <c r="Q67" s="126"/>
      <c r="R67" s="126"/>
      <c r="S67" s="126"/>
      <c r="T67" s="127"/>
      <c r="U67" s="126"/>
      <c r="V67" s="126"/>
      <c r="W67" s="17">
        <f t="shared" si="1"/>
        <v>0</v>
      </c>
      <c r="X67" s="121"/>
      <c r="Y67" s="121"/>
      <c r="Z67" s="121"/>
      <c r="AA67" s="121"/>
      <c r="AB67" s="121"/>
      <c r="AC67" s="121"/>
      <c r="AD67" s="121"/>
      <c r="AE67" s="126"/>
      <c r="AF67" s="126"/>
      <c r="AG67" s="126"/>
      <c r="AH67" s="126"/>
      <c r="AI67" s="126"/>
      <c r="AJ67" s="17">
        <f t="shared" si="2"/>
        <v>0</v>
      </c>
    </row>
    <row r="68" spans="1:36" ht="15" thickBot="1">
      <c r="A68" s="110" t="s">
        <v>125</v>
      </c>
      <c r="B68" s="103" t="s">
        <v>121</v>
      </c>
      <c r="C68" s="63"/>
      <c r="D68" s="63"/>
      <c r="E68" s="17">
        <v>1</v>
      </c>
      <c r="F68" s="49">
        <f t="shared" si="17"/>
        <v>1</v>
      </c>
      <c r="G68" s="17"/>
      <c r="H68" s="61"/>
      <c r="I68" s="50"/>
      <c r="J68" s="51"/>
      <c r="K68" s="126"/>
      <c r="L68" s="121"/>
      <c r="M68" s="121"/>
      <c r="N68" s="121"/>
      <c r="O68" s="121"/>
      <c r="P68" s="121"/>
      <c r="Q68" s="121"/>
      <c r="R68" s="121"/>
      <c r="S68" s="126"/>
      <c r="T68" s="127"/>
      <c r="U68" s="126"/>
      <c r="V68" s="126"/>
      <c r="W68" s="17">
        <f t="shared" si="1"/>
        <v>0</v>
      </c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7">
        <f t="shared" si="2"/>
        <v>0</v>
      </c>
    </row>
    <row r="69" spans="1:36" ht="15" thickBot="1">
      <c r="A69" s="110" t="s">
        <v>125</v>
      </c>
      <c r="B69" s="103" t="s">
        <v>122</v>
      </c>
      <c r="C69" s="63"/>
      <c r="D69" s="63"/>
      <c r="E69" s="17">
        <v>5</v>
      </c>
      <c r="F69" s="49">
        <f t="shared" si="17"/>
        <v>5</v>
      </c>
      <c r="G69" s="17"/>
      <c r="H69" s="61"/>
      <c r="I69" s="50"/>
      <c r="J69" s="51"/>
      <c r="K69" s="126"/>
      <c r="L69" s="126"/>
      <c r="M69" s="126"/>
      <c r="N69" s="126"/>
      <c r="O69" s="126"/>
      <c r="P69" s="126"/>
      <c r="Q69" s="126"/>
      <c r="R69" s="126"/>
      <c r="S69" s="126"/>
      <c r="T69" s="127"/>
      <c r="U69" s="126"/>
      <c r="V69" s="126"/>
      <c r="W69" s="17">
        <f t="shared" si="1"/>
        <v>0</v>
      </c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7">
        <f t="shared" si="2"/>
        <v>0</v>
      </c>
    </row>
    <row r="70" spans="1:36" ht="15" thickBot="1">
      <c r="A70" s="110" t="s">
        <v>125</v>
      </c>
      <c r="B70" s="103" t="s">
        <v>123</v>
      </c>
      <c r="C70" s="63"/>
      <c r="D70" s="63"/>
      <c r="E70" s="17">
        <v>1</v>
      </c>
      <c r="F70" s="49">
        <f t="shared" si="17"/>
        <v>1</v>
      </c>
      <c r="G70" s="17"/>
      <c r="H70" s="61"/>
      <c r="I70" s="50"/>
      <c r="J70" s="51"/>
      <c r="K70" s="126"/>
      <c r="L70" s="121"/>
      <c r="M70" s="121"/>
      <c r="N70" s="121"/>
      <c r="O70" s="121"/>
      <c r="P70" s="121"/>
      <c r="Q70" s="121"/>
      <c r="R70" s="121"/>
      <c r="S70" s="126"/>
      <c r="T70" s="127"/>
      <c r="U70" s="126"/>
      <c r="V70" s="126"/>
      <c r="W70" s="17">
        <f t="shared" si="1"/>
        <v>0</v>
      </c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7">
        <f t="shared" si="2"/>
        <v>0</v>
      </c>
    </row>
    <row r="71" spans="1:36" ht="15" thickBot="1">
      <c r="A71" s="110" t="s">
        <v>125</v>
      </c>
      <c r="B71" s="103" t="s">
        <v>124</v>
      </c>
      <c r="C71" s="63"/>
      <c r="D71" s="63"/>
      <c r="E71" s="17">
        <v>3</v>
      </c>
      <c r="F71" s="49">
        <f t="shared" si="17"/>
        <v>3</v>
      </c>
      <c r="G71" s="17"/>
      <c r="H71" s="61"/>
      <c r="I71" s="50"/>
      <c r="J71" s="51"/>
      <c r="K71" s="126"/>
      <c r="L71" s="126"/>
      <c r="M71" s="126"/>
      <c r="N71" s="126"/>
      <c r="O71" s="126"/>
      <c r="P71" s="126"/>
      <c r="Q71" s="126"/>
      <c r="R71" s="126"/>
      <c r="S71" s="126"/>
      <c r="T71" s="127"/>
      <c r="U71" s="126"/>
      <c r="V71" s="126"/>
      <c r="W71" s="17">
        <f t="shared" si="1"/>
        <v>0</v>
      </c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7">
        <f t="shared" si="2"/>
        <v>0</v>
      </c>
    </row>
    <row r="72" spans="1:39" ht="15" thickBot="1">
      <c r="A72" s="196" t="s">
        <v>23</v>
      </c>
      <c r="B72" s="197"/>
      <c r="C72" s="45">
        <f>+D72/Metas!Q26</f>
        <v>0.7348555849024452</v>
      </c>
      <c r="D72" s="19">
        <f>+F72/AK72</f>
        <v>0.16166822867853795</v>
      </c>
      <c r="E72" s="14">
        <f aca="true" t="shared" si="18" ref="E72:J72">SUM(E62:E71)</f>
        <v>207</v>
      </c>
      <c r="F72" s="14">
        <f>SUM(F62:F71)</f>
        <v>207</v>
      </c>
      <c r="G72" s="14">
        <f t="shared" si="18"/>
        <v>0</v>
      </c>
      <c r="H72" s="14">
        <f t="shared" si="18"/>
        <v>0</v>
      </c>
      <c r="I72" s="14">
        <f>SUM(I62:I71)</f>
        <v>0</v>
      </c>
      <c r="J72" s="14">
        <f t="shared" si="18"/>
        <v>0</v>
      </c>
      <c r="K72" s="14">
        <f aca="true" t="shared" si="19" ref="K72:V72">SUM(K62:K71)</f>
        <v>0</v>
      </c>
      <c r="L72" s="14">
        <f t="shared" si="19"/>
        <v>0</v>
      </c>
      <c r="M72" s="14">
        <f t="shared" si="19"/>
        <v>0</v>
      </c>
      <c r="N72" s="14">
        <f t="shared" si="19"/>
        <v>0</v>
      </c>
      <c r="O72" s="14">
        <f t="shared" si="19"/>
        <v>0</v>
      </c>
      <c r="P72" s="14">
        <f t="shared" si="19"/>
        <v>0</v>
      </c>
      <c r="Q72" s="14">
        <f t="shared" si="19"/>
        <v>0</v>
      </c>
      <c r="R72" s="14">
        <f t="shared" si="19"/>
        <v>0</v>
      </c>
      <c r="S72" s="14">
        <f t="shared" si="19"/>
        <v>0</v>
      </c>
      <c r="T72" s="14">
        <f t="shared" si="19"/>
        <v>0</v>
      </c>
      <c r="U72" s="14">
        <f t="shared" si="19"/>
        <v>0</v>
      </c>
      <c r="V72" s="14">
        <f t="shared" si="19"/>
        <v>0</v>
      </c>
      <c r="W72" s="14">
        <f t="shared" si="1"/>
        <v>0</v>
      </c>
      <c r="X72" s="14">
        <f aca="true" t="shared" si="20" ref="X72:AI72">SUM(X62:X71)</f>
        <v>0</v>
      </c>
      <c r="Y72" s="14">
        <f t="shared" si="20"/>
        <v>0</v>
      </c>
      <c r="Z72" s="14">
        <f t="shared" si="20"/>
        <v>0</v>
      </c>
      <c r="AA72" s="14">
        <f t="shared" si="20"/>
        <v>0</v>
      </c>
      <c r="AB72" s="14">
        <f t="shared" si="20"/>
        <v>0</v>
      </c>
      <c r="AC72" s="14">
        <f t="shared" si="20"/>
        <v>0</v>
      </c>
      <c r="AD72" s="14">
        <f t="shared" si="20"/>
        <v>0</v>
      </c>
      <c r="AE72" s="14">
        <f t="shared" si="20"/>
        <v>0</v>
      </c>
      <c r="AF72" s="14">
        <f t="shared" si="20"/>
        <v>0</v>
      </c>
      <c r="AG72" s="14">
        <f t="shared" si="20"/>
        <v>0</v>
      </c>
      <c r="AH72" s="14">
        <f t="shared" si="20"/>
        <v>0</v>
      </c>
      <c r="AI72" s="14">
        <f t="shared" si="20"/>
        <v>0</v>
      </c>
      <c r="AJ72" s="14">
        <f t="shared" si="2"/>
        <v>0</v>
      </c>
      <c r="AK72" s="14">
        <f>+AL72+AM72</f>
        <v>1280.4</v>
      </c>
      <c r="AL72" s="14">
        <f>9180*0.1</f>
        <v>918</v>
      </c>
      <c r="AM72" s="14">
        <f>4530*0.08</f>
        <v>362.40000000000003</v>
      </c>
    </row>
    <row r="73" spans="1:36" ht="15" thickBot="1">
      <c r="A73" s="110" t="s">
        <v>131</v>
      </c>
      <c r="B73" s="103" t="s">
        <v>126</v>
      </c>
      <c r="C73" s="63"/>
      <c r="D73" s="63"/>
      <c r="E73" s="17">
        <v>41</v>
      </c>
      <c r="F73" s="49">
        <f>+E73+(K73+L73+M73)-(X73+Y73+Z73)</f>
        <v>41</v>
      </c>
      <c r="G73" s="17"/>
      <c r="H73" s="61"/>
      <c r="I73" s="50"/>
      <c r="J73" s="51"/>
      <c r="K73" s="126"/>
      <c r="L73" s="126"/>
      <c r="M73" s="126"/>
      <c r="N73" s="126"/>
      <c r="O73" s="126"/>
      <c r="P73" s="126"/>
      <c r="Q73" s="126"/>
      <c r="R73" s="126"/>
      <c r="S73" s="126"/>
      <c r="T73" s="127"/>
      <c r="U73" s="126"/>
      <c r="V73" s="126"/>
      <c r="W73" s="17">
        <f t="shared" si="1"/>
        <v>0</v>
      </c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7">
        <f t="shared" si="2"/>
        <v>0</v>
      </c>
    </row>
    <row r="74" spans="1:36" ht="15" thickBot="1">
      <c r="A74" s="110" t="s">
        <v>131</v>
      </c>
      <c r="B74" s="103" t="s">
        <v>127</v>
      </c>
      <c r="C74" s="63"/>
      <c r="D74" s="63"/>
      <c r="E74" s="17">
        <v>15</v>
      </c>
      <c r="F74" s="49">
        <f>+E74+(K74+L74+M74)-(X74+Y74+Z74)</f>
        <v>15</v>
      </c>
      <c r="G74" s="17"/>
      <c r="H74" s="61"/>
      <c r="I74" s="50"/>
      <c r="J74" s="51"/>
      <c r="K74" s="126"/>
      <c r="L74" s="126"/>
      <c r="M74" s="126"/>
      <c r="N74" s="126"/>
      <c r="O74" s="126"/>
      <c r="P74" s="126"/>
      <c r="Q74" s="126"/>
      <c r="R74" s="126"/>
      <c r="S74" s="126"/>
      <c r="T74" s="127"/>
      <c r="U74" s="126"/>
      <c r="V74" s="126"/>
      <c r="W74" s="17">
        <f t="shared" si="1"/>
        <v>0</v>
      </c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7">
        <f t="shared" si="2"/>
        <v>0</v>
      </c>
    </row>
    <row r="75" spans="1:36" ht="15" thickBot="1">
      <c r="A75" s="110" t="s">
        <v>131</v>
      </c>
      <c r="B75" s="103" t="s">
        <v>128</v>
      </c>
      <c r="C75" s="63"/>
      <c r="D75" s="63"/>
      <c r="E75" s="17">
        <v>20</v>
      </c>
      <c r="F75" s="49">
        <f>+E75+(K75+L75+M75)-(X75+Y75+Z75)</f>
        <v>20</v>
      </c>
      <c r="G75" s="17"/>
      <c r="H75" s="61"/>
      <c r="I75" s="50"/>
      <c r="J75" s="51"/>
      <c r="K75" s="126"/>
      <c r="L75" s="126"/>
      <c r="M75" s="126"/>
      <c r="N75" s="126"/>
      <c r="O75" s="126"/>
      <c r="P75" s="126"/>
      <c r="Q75" s="126"/>
      <c r="R75" s="126"/>
      <c r="S75" s="126"/>
      <c r="T75" s="127"/>
      <c r="U75" s="126"/>
      <c r="V75" s="126"/>
      <c r="W75" s="17">
        <f t="shared" si="1"/>
        <v>0</v>
      </c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7">
        <f t="shared" si="2"/>
        <v>0</v>
      </c>
    </row>
    <row r="76" spans="1:36" ht="15" thickBot="1">
      <c r="A76" s="110" t="s">
        <v>131</v>
      </c>
      <c r="B76" s="103" t="s">
        <v>129</v>
      </c>
      <c r="C76" s="63"/>
      <c r="D76" s="63"/>
      <c r="E76" s="17">
        <v>8</v>
      </c>
      <c r="F76" s="49">
        <f>+E76+(K76+L76+M76)-(X76+Y76+Z76)</f>
        <v>8</v>
      </c>
      <c r="G76" s="17"/>
      <c r="H76" s="61"/>
      <c r="I76" s="50"/>
      <c r="J76" s="51"/>
      <c r="K76" s="126"/>
      <c r="L76" s="126"/>
      <c r="M76" s="126"/>
      <c r="N76" s="126"/>
      <c r="O76" s="126"/>
      <c r="P76" s="126"/>
      <c r="Q76" s="126"/>
      <c r="R76" s="126"/>
      <c r="S76" s="126"/>
      <c r="T76" s="127"/>
      <c r="U76" s="126"/>
      <c r="V76" s="126"/>
      <c r="W76" s="17">
        <f>SUM(K76:V76)</f>
        <v>0</v>
      </c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7">
        <f aca="true" t="shared" si="21" ref="AJ76:AJ139">SUM(X76:AI76)</f>
        <v>0</v>
      </c>
    </row>
    <row r="77" spans="1:36" ht="15" thickBot="1">
      <c r="A77" s="110" t="s">
        <v>131</v>
      </c>
      <c r="B77" s="103" t="s">
        <v>130</v>
      </c>
      <c r="C77" s="63"/>
      <c r="D77" s="63"/>
      <c r="E77" s="17">
        <v>14</v>
      </c>
      <c r="F77" s="49">
        <f>+E77+(K77+L77+M77)-(X77+Y77+Z77)</f>
        <v>14</v>
      </c>
      <c r="G77" s="17"/>
      <c r="H77" s="61"/>
      <c r="I77" s="50"/>
      <c r="J77" s="51"/>
      <c r="K77" s="126"/>
      <c r="L77" s="126"/>
      <c r="M77" s="126"/>
      <c r="N77" s="126"/>
      <c r="O77" s="126"/>
      <c r="P77" s="126"/>
      <c r="Q77" s="126"/>
      <c r="R77" s="126"/>
      <c r="S77" s="126"/>
      <c r="T77" s="127"/>
      <c r="U77" s="126"/>
      <c r="V77" s="126"/>
      <c r="W77" s="17">
        <f>SUM(K77:V77)</f>
        <v>0</v>
      </c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7">
        <f t="shared" si="21"/>
        <v>0</v>
      </c>
    </row>
    <row r="78" spans="1:39" ht="15" thickBot="1">
      <c r="A78" s="196" t="s">
        <v>204</v>
      </c>
      <c r="B78" s="197"/>
      <c r="C78" s="45">
        <f>+D78/Metas!Q31</f>
        <v>0.5622438348242357</v>
      </c>
      <c r="D78" s="19">
        <f>+F78/AK78</f>
        <v>0.12369364366133184</v>
      </c>
      <c r="E78" s="14">
        <f aca="true" t="shared" si="22" ref="E78:K78">SUM(E73:E77)</f>
        <v>98</v>
      </c>
      <c r="F78" s="14">
        <f>SUM(F73:F77)</f>
        <v>98</v>
      </c>
      <c r="G78" s="14">
        <f t="shared" si="22"/>
        <v>0</v>
      </c>
      <c r="H78" s="14">
        <f t="shared" si="22"/>
        <v>0</v>
      </c>
      <c r="I78" s="14">
        <f>SUM(I73:I77)</f>
        <v>0</v>
      </c>
      <c r="J78" s="14">
        <f t="shared" si="22"/>
        <v>0</v>
      </c>
      <c r="K78" s="14">
        <f t="shared" si="22"/>
        <v>0</v>
      </c>
      <c r="L78" s="14">
        <f aca="true" t="shared" si="23" ref="L78:V78">SUM(L73:L77)</f>
        <v>0</v>
      </c>
      <c r="M78" s="14">
        <f t="shared" si="23"/>
        <v>0</v>
      </c>
      <c r="N78" s="14">
        <f t="shared" si="23"/>
        <v>0</v>
      </c>
      <c r="O78" s="14">
        <f t="shared" si="23"/>
        <v>0</v>
      </c>
      <c r="P78" s="14">
        <f t="shared" si="23"/>
        <v>0</v>
      </c>
      <c r="Q78" s="14">
        <f t="shared" si="23"/>
        <v>0</v>
      </c>
      <c r="R78" s="14">
        <f t="shared" si="23"/>
        <v>0</v>
      </c>
      <c r="S78" s="14">
        <f t="shared" si="23"/>
        <v>0</v>
      </c>
      <c r="T78" s="14">
        <f t="shared" si="23"/>
        <v>0</v>
      </c>
      <c r="U78" s="14">
        <f t="shared" si="23"/>
        <v>0</v>
      </c>
      <c r="V78" s="14">
        <f t="shared" si="23"/>
        <v>0</v>
      </c>
      <c r="W78" s="14">
        <f aca="true" t="shared" si="24" ref="W78:W141">SUM(K78:V78)</f>
        <v>0</v>
      </c>
      <c r="X78" s="14">
        <f aca="true" t="shared" si="25" ref="X78:AI78">SUM(X73:X77)</f>
        <v>0</v>
      </c>
      <c r="Y78" s="14">
        <f t="shared" si="25"/>
        <v>0</v>
      </c>
      <c r="Z78" s="14">
        <f t="shared" si="25"/>
        <v>0</v>
      </c>
      <c r="AA78" s="14">
        <f t="shared" si="25"/>
        <v>0</v>
      </c>
      <c r="AB78" s="14">
        <f t="shared" si="25"/>
        <v>0</v>
      </c>
      <c r="AC78" s="14">
        <f t="shared" si="25"/>
        <v>0</v>
      </c>
      <c r="AD78" s="14">
        <f t="shared" si="25"/>
        <v>0</v>
      </c>
      <c r="AE78" s="14">
        <f t="shared" si="25"/>
        <v>0</v>
      </c>
      <c r="AF78" s="14">
        <f t="shared" si="25"/>
        <v>0</v>
      </c>
      <c r="AG78" s="14">
        <f t="shared" si="25"/>
        <v>0</v>
      </c>
      <c r="AH78" s="14">
        <f t="shared" si="25"/>
        <v>0</v>
      </c>
      <c r="AI78" s="14">
        <f t="shared" si="25"/>
        <v>0</v>
      </c>
      <c r="AJ78" s="14">
        <f t="shared" si="21"/>
        <v>0</v>
      </c>
      <c r="AK78" s="14">
        <f>+AL78+AM78</f>
        <v>792.2800000000001</v>
      </c>
      <c r="AL78" s="14">
        <f>5782*0.1</f>
        <v>578.2</v>
      </c>
      <c r="AM78" s="14">
        <f>2676*0.08</f>
        <v>214.08</v>
      </c>
    </row>
    <row r="79" spans="1:36" ht="15" thickBot="1">
      <c r="A79" s="110" t="s">
        <v>142</v>
      </c>
      <c r="B79" s="103" t="s">
        <v>132</v>
      </c>
      <c r="C79" s="63"/>
      <c r="D79" s="63"/>
      <c r="E79" s="17">
        <v>105</v>
      </c>
      <c r="F79" s="49">
        <f aca="true" t="shared" si="26" ref="F79:F88">+E79+(K79+L79+M79)-(X79+Y79+Z79)</f>
        <v>105</v>
      </c>
      <c r="G79" s="17"/>
      <c r="H79" s="61"/>
      <c r="I79" s="50"/>
      <c r="J79" s="51"/>
      <c r="K79" s="126"/>
      <c r="L79" s="126"/>
      <c r="M79" s="126"/>
      <c r="N79" s="126"/>
      <c r="O79" s="126"/>
      <c r="P79" s="126"/>
      <c r="Q79" s="126"/>
      <c r="R79" s="126"/>
      <c r="S79" s="126"/>
      <c r="T79" s="127"/>
      <c r="U79" s="126"/>
      <c r="V79" s="126"/>
      <c r="W79" s="17">
        <f t="shared" si="24"/>
        <v>0</v>
      </c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7">
        <f t="shared" si="21"/>
        <v>0</v>
      </c>
    </row>
    <row r="80" spans="1:36" ht="15" thickBot="1">
      <c r="A80" s="110" t="s">
        <v>142</v>
      </c>
      <c r="B80" s="103" t="s">
        <v>133</v>
      </c>
      <c r="C80" s="63"/>
      <c r="D80" s="63"/>
      <c r="E80" s="17">
        <v>7</v>
      </c>
      <c r="F80" s="49">
        <f t="shared" si="26"/>
        <v>7</v>
      </c>
      <c r="G80" s="17"/>
      <c r="H80" s="61"/>
      <c r="I80" s="50"/>
      <c r="J80" s="51"/>
      <c r="K80" s="126"/>
      <c r="L80" s="126"/>
      <c r="M80" s="126"/>
      <c r="N80" s="126"/>
      <c r="O80" s="126"/>
      <c r="P80" s="126"/>
      <c r="Q80" s="126"/>
      <c r="R80" s="126"/>
      <c r="S80" s="126"/>
      <c r="T80" s="127"/>
      <c r="U80" s="126"/>
      <c r="V80" s="126"/>
      <c r="W80" s="17">
        <f t="shared" si="24"/>
        <v>0</v>
      </c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7">
        <f t="shared" si="21"/>
        <v>0</v>
      </c>
    </row>
    <row r="81" spans="1:36" ht="15" thickBot="1">
      <c r="A81" s="110" t="s">
        <v>142</v>
      </c>
      <c r="B81" s="103" t="s">
        <v>134</v>
      </c>
      <c r="C81" s="63"/>
      <c r="D81" s="63"/>
      <c r="E81" s="17">
        <v>10</v>
      </c>
      <c r="F81" s="49">
        <f t="shared" si="26"/>
        <v>10</v>
      </c>
      <c r="G81" s="17"/>
      <c r="H81" s="61"/>
      <c r="I81" s="50"/>
      <c r="J81" s="51"/>
      <c r="K81" s="126"/>
      <c r="L81" s="126"/>
      <c r="M81" s="126"/>
      <c r="N81" s="126"/>
      <c r="O81" s="126"/>
      <c r="P81" s="126"/>
      <c r="Q81" s="126"/>
      <c r="R81" s="126"/>
      <c r="S81" s="126"/>
      <c r="T81" s="127"/>
      <c r="U81" s="126"/>
      <c r="V81" s="126"/>
      <c r="W81" s="17">
        <f t="shared" si="24"/>
        <v>0</v>
      </c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7">
        <f t="shared" si="21"/>
        <v>0</v>
      </c>
    </row>
    <row r="82" spans="1:36" ht="15" thickBot="1">
      <c r="A82" s="110" t="s">
        <v>142</v>
      </c>
      <c r="B82" s="103" t="s">
        <v>135</v>
      </c>
      <c r="C82" s="63"/>
      <c r="D82" s="63"/>
      <c r="E82" s="17">
        <v>17</v>
      </c>
      <c r="F82" s="49">
        <f t="shared" si="26"/>
        <v>17</v>
      </c>
      <c r="G82" s="17"/>
      <c r="H82" s="61"/>
      <c r="I82" s="50"/>
      <c r="J82" s="51"/>
      <c r="K82" s="126"/>
      <c r="L82" s="126"/>
      <c r="M82" s="126"/>
      <c r="N82" s="126"/>
      <c r="O82" s="126"/>
      <c r="P82" s="126"/>
      <c r="Q82" s="126"/>
      <c r="R82" s="126"/>
      <c r="S82" s="126"/>
      <c r="T82" s="127"/>
      <c r="U82" s="126"/>
      <c r="V82" s="126"/>
      <c r="W82" s="17">
        <f t="shared" si="24"/>
        <v>0</v>
      </c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7">
        <f t="shared" si="21"/>
        <v>0</v>
      </c>
    </row>
    <row r="83" spans="1:36" ht="15" thickBot="1">
      <c r="A83" s="110" t="s">
        <v>142</v>
      </c>
      <c r="B83" s="103" t="s">
        <v>136</v>
      </c>
      <c r="C83" s="63"/>
      <c r="D83" s="63"/>
      <c r="E83" s="17">
        <v>10</v>
      </c>
      <c r="F83" s="49">
        <f t="shared" si="26"/>
        <v>10</v>
      </c>
      <c r="G83" s="17"/>
      <c r="H83" s="61"/>
      <c r="I83" s="50"/>
      <c r="J83" s="51"/>
      <c r="K83" s="126"/>
      <c r="L83" s="126"/>
      <c r="M83" s="126"/>
      <c r="N83" s="126"/>
      <c r="O83" s="126"/>
      <c r="P83" s="126"/>
      <c r="Q83" s="126"/>
      <c r="R83" s="126"/>
      <c r="S83" s="126"/>
      <c r="T83" s="127"/>
      <c r="U83" s="126"/>
      <c r="V83" s="126"/>
      <c r="W83" s="17">
        <f t="shared" si="24"/>
        <v>0</v>
      </c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7">
        <f t="shared" si="21"/>
        <v>0</v>
      </c>
    </row>
    <row r="84" spans="1:36" ht="15" thickBot="1">
      <c r="A84" s="110" t="s">
        <v>142</v>
      </c>
      <c r="B84" s="103" t="s">
        <v>137</v>
      </c>
      <c r="C84" s="63"/>
      <c r="D84" s="63"/>
      <c r="E84" s="17">
        <v>18</v>
      </c>
      <c r="F84" s="49">
        <f t="shared" si="26"/>
        <v>18</v>
      </c>
      <c r="G84" s="17"/>
      <c r="H84" s="61"/>
      <c r="I84" s="50"/>
      <c r="J84" s="51"/>
      <c r="K84" s="126"/>
      <c r="L84" s="126"/>
      <c r="M84" s="126"/>
      <c r="N84" s="126"/>
      <c r="O84" s="126"/>
      <c r="P84" s="126"/>
      <c r="Q84" s="126"/>
      <c r="R84" s="126"/>
      <c r="S84" s="126"/>
      <c r="T84" s="127"/>
      <c r="U84" s="126"/>
      <c r="V84" s="126"/>
      <c r="W84" s="17">
        <f t="shared" si="24"/>
        <v>0</v>
      </c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7">
        <f t="shared" si="21"/>
        <v>0</v>
      </c>
    </row>
    <row r="85" spans="1:36" ht="15" thickBot="1">
      <c r="A85" s="110" t="s">
        <v>142</v>
      </c>
      <c r="B85" s="103" t="s">
        <v>138</v>
      </c>
      <c r="C85" s="63"/>
      <c r="D85" s="63"/>
      <c r="E85" s="17">
        <v>9</v>
      </c>
      <c r="F85" s="49">
        <f t="shared" si="26"/>
        <v>9</v>
      </c>
      <c r="G85" s="17"/>
      <c r="H85" s="61"/>
      <c r="I85" s="50"/>
      <c r="J85" s="51"/>
      <c r="K85" s="126"/>
      <c r="L85" s="126"/>
      <c r="M85" s="126"/>
      <c r="N85" s="126"/>
      <c r="O85" s="126"/>
      <c r="P85" s="126"/>
      <c r="Q85" s="126"/>
      <c r="R85" s="126"/>
      <c r="S85" s="126"/>
      <c r="T85" s="127"/>
      <c r="U85" s="126"/>
      <c r="V85" s="126"/>
      <c r="W85" s="17">
        <f t="shared" si="24"/>
        <v>0</v>
      </c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7">
        <f t="shared" si="21"/>
        <v>0</v>
      </c>
    </row>
    <row r="86" spans="1:36" ht="15" thickBot="1">
      <c r="A86" s="110" t="s">
        <v>142</v>
      </c>
      <c r="B86" s="103" t="s">
        <v>139</v>
      </c>
      <c r="C86" s="63"/>
      <c r="D86" s="63"/>
      <c r="E86" s="17">
        <v>10</v>
      </c>
      <c r="F86" s="49">
        <f t="shared" si="26"/>
        <v>10</v>
      </c>
      <c r="G86" s="17"/>
      <c r="H86" s="61"/>
      <c r="I86" s="50"/>
      <c r="J86" s="51"/>
      <c r="K86" s="126"/>
      <c r="L86" s="126"/>
      <c r="M86" s="126"/>
      <c r="N86" s="126"/>
      <c r="O86" s="126"/>
      <c r="P86" s="126"/>
      <c r="Q86" s="126"/>
      <c r="R86" s="126"/>
      <c r="S86" s="126"/>
      <c r="T86" s="127"/>
      <c r="U86" s="126"/>
      <c r="V86" s="126"/>
      <c r="W86" s="17">
        <f t="shared" si="24"/>
        <v>0</v>
      </c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7">
        <f t="shared" si="21"/>
        <v>0</v>
      </c>
    </row>
    <row r="87" spans="1:36" ht="15" thickBot="1">
      <c r="A87" s="110" t="s">
        <v>142</v>
      </c>
      <c r="B87" s="103" t="s">
        <v>140</v>
      </c>
      <c r="C87" s="63"/>
      <c r="D87" s="63"/>
      <c r="E87" s="17">
        <v>8</v>
      </c>
      <c r="F87" s="49">
        <f t="shared" si="26"/>
        <v>8</v>
      </c>
      <c r="G87" s="17"/>
      <c r="H87" s="61"/>
      <c r="I87" s="50"/>
      <c r="J87" s="51"/>
      <c r="K87" s="126"/>
      <c r="L87" s="126"/>
      <c r="M87" s="126"/>
      <c r="N87" s="126"/>
      <c r="O87" s="126"/>
      <c r="P87" s="126"/>
      <c r="Q87" s="126"/>
      <c r="R87" s="126"/>
      <c r="S87" s="126"/>
      <c r="T87" s="127"/>
      <c r="U87" s="126"/>
      <c r="V87" s="126"/>
      <c r="W87" s="17">
        <f t="shared" si="24"/>
        <v>0</v>
      </c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7">
        <f t="shared" si="21"/>
        <v>0</v>
      </c>
    </row>
    <row r="88" spans="1:36" ht="15" thickBot="1">
      <c r="A88" s="110" t="s">
        <v>142</v>
      </c>
      <c r="B88" s="103" t="s">
        <v>141</v>
      </c>
      <c r="C88" s="63"/>
      <c r="D88" s="63"/>
      <c r="E88" s="17">
        <v>10</v>
      </c>
      <c r="F88" s="49">
        <f t="shared" si="26"/>
        <v>10</v>
      </c>
      <c r="G88" s="17"/>
      <c r="H88" s="61"/>
      <c r="I88" s="50"/>
      <c r="J88" s="51"/>
      <c r="K88" s="126"/>
      <c r="L88" s="126"/>
      <c r="M88" s="126"/>
      <c r="N88" s="126"/>
      <c r="O88" s="126"/>
      <c r="P88" s="126"/>
      <c r="Q88" s="126"/>
      <c r="R88" s="126"/>
      <c r="S88" s="126"/>
      <c r="T88" s="127"/>
      <c r="U88" s="126"/>
      <c r="V88" s="126"/>
      <c r="W88" s="17">
        <f t="shared" si="24"/>
        <v>0</v>
      </c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7">
        <f t="shared" si="21"/>
        <v>0</v>
      </c>
    </row>
    <row r="89" spans="1:39" ht="15" thickBot="1">
      <c r="A89" s="196" t="s">
        <v>205</v>
      </c>
      <c r="B89" s="197"/>
      <c r="C89" s="45">
        <f>+D89/Metas!Q36</f>
        <v>0.553767573976833</v>
      </c>
      <c r="D89" s="19">
        <f>+F89/AK89</f>
        <v>0.12182886627490325</v>
      </c>
      <c r="E89" s="14">
        <f aca="true" t="shared" si="27" ref="E89:K89">SUM(E79:E88)</f>
        <v>204</v>
      </c>
      <c r="F89" s="14">
        <f>SUM(F79:F88)</f>
        <v>204</v>
      </c>
      <c r="G89" s="14">
        <f t="shared" si="27"/>
        <v>0</v>
      </c>
      <c r="H89" s="14">
        <f t="shared" si="27"/>
        <v>0</v>
      </c>
      <c r="I89" s="14">
        <f>SUM(I79:I88)</f>
        <v>0</v>
      </c>
      <c r="J89" s="14">
        <f t="shared" si="27"/>
        <v>0</v>
      </c>
      <c r="K89" s="14">
        <f t="shared" si="27"/>
        <v>0</v>
      </c>
      <c r="L89" s="14">
        <f aca="true" t="shared" si="28" ref="L89:V89">SUM(L79:L88)</f>
        <v>0</v>
      </c>
      <c r="M89" s="14">
        <f t="shared" si="28"/>
        <v>0</v>
      </c>
      <c r="N89" s="14">
        <f t="shared" si="28"/>
        <v>0</v>
      </c>
      <c r="O89" s="14">
        <f t="shared" si="28"/>
        <v>0</v>
      </c>
      <c r="P89" s="14">
        <f t="shared" si="28"/>
        <v>0</v>
      </c>
      <c r="Q89" s="14">
        <f t="shared" si="28"/>
        <v>0</v>
      </c>
      <c r="R89" s="14">
        <f t="shared" si="28"/>
        <v>0</v>
      </c>
      <c r="S89" s="14">
        <f t="shared" si="28"/>
        <v>0</v>
      </c>
      <c r="T89" s="14">
        <f t="shared" si="28"/>
        <v>0</v>
      </c>
      <c r="U89" s="14">
        <f t="shared" si="28"/>
        <v>0</v>
      </c>
      <c r="V89" s="14">
        <f t="shared" si="28"/>
        <v>0</v>
      </c>
      <c r="W89" s="14">
        <f t="shared" si="24"/>
        <v>0</v>
      </c>
      <c r="X89" s="14">
        <f aca="true" t="shared" si="29" ref="X89:AI89">SUM(X79:X88)</f>
        <v>0</v>
      </c>
      <c r="Y89" s="14">
        <f t="shared" si="29"/>
        <v>0</v>
      </c>
      <c r="Z89" s="14">
        <f t="shared" si="29"/>
        <v>0</v>
      </c>
      <c r="AA89" s="14">
        <f t="shared" si="29"/>
        <v>0</v>
      </c>
      <c r="AB89" s="14">
        <f t="shared" si="29"/>
        <v>0</v>
      </c>
      <c r="AC89" s="14">
        <f t="shared" si="29"/>
        <v>0</v>
      </c>
      <c r="AD89" s="14">
        <f t="shared" si="29"/>
        <v>0</v>
      </c>
      <c r="AE89" s="14">
        <f t="shared" si="29"/>
        <v>0</v>
      </c>
      <c r="AF89" s="14">
        <f t="shared" si="29"/>
        <v>0</v>
      </c>
      <c r="AG89" s="14">
        <f t="shared" si="29"/>
        <v>0</v>
      </c>
      <c r="AH89" s="14">
        <f t="shared" si="29"/>
        <v>0</v>
      </c>
      <c r="AI89" s="14">
        <f t="shared" si="29"/>
        <v>0</v>
      </c>
      <c r="AJ89" s="14">
        <f t="shared" si="21"/>
        <v>0</v>
      </c>
      <c r="AK89" s="14">
        <f>+AL89+AM89</f>
        <v>1674.48</v>
      </c>
      <c r="AL89" s="14">
        <f>12108*0.1</f>
        <v>1210.8</v>
      </c>
      <c r="AM89" s="14">
        <f>5796*0.08</f>
        <v>463.68</v>
      </c>
    </row>
    <row r="90" spans="1:36" ht="15" thickBot="1">
      <c r="A90" s="110" t="s">
        <v>159</v>
      </c>
      <c r="B90" s="103" t="s">
        <v>143</v>
      </c>
      <c r="C90" s="63"/>
      <c r="D90" s="63"/>
      <c r="E90" s="17">
        <v>111</v>
      </c>
      <c r="F90" s="49">
        <f aca="true" t="shared" si="30" ref="F90:F105">+E90+(K90+L90+M90)-(X90+Y90+Z90)</f>
        <v>111</v>
      </c>
      <c r="G90" s="17"/>
      <c r="H90" s="61"/>
      <c r="I90" s="50"/>
      <c r="J90" s="51"/>
      <c r="K90" s="126"/>
      <c r="L90" s="126"/>
      <c r="M90" s="126"/>
      <c r="N90" s="126"/>
      <c r="O90" s="126"/>
      <c r="P90" s="126"/>
      <c r="Q90" s="126"/>
      <c r="R90" s="126"/>
      <c r="S90" s="126"/>
      <c r="T90" s="127"/>
      <c r="U90" s="126"/>
      <c r="V90" s="126"/>
      <c r="W90" s="17">
        <f t="shared" si="24"/>
        <v>0</v>
      </c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7">
        <f t="shared" si="21"/>
        <v>0</v>
      </c>
    </row>
    <row r="91" spans="1:36" ht="15" thickBot="1">
      <c r="A91" s="110" t="s">
        <v>159</v>
      </c>
      <c r="B91" s="103" t="s">
        <v>144</v>
      </c>
      <c r="C91" s="63"/>
      <c r="D91" s="63"/>
      <c r="E91" s="17">
        <v>329</v>
      </c>
      <c r="F91" s="49">
        <f t="shared" si="30"/>
        <v>344</v>
      </c>
      <c r="G91" s="17"/>
      <c r="H91" s="61"/>
      <c r="I91" s="50"/>
      <c r="J91" s="51"/>
      <c r="K91" s="126">
        <v>6</v>
      </c>
      <c r="L91" s="126">
        <v>9</v>
      </c>
      <c r="M91" s="126"/>
      <c r="N91" s="126"/>
      <c r="O91" s="126"/>
      <c r="P91" s="126"/>
      <c r="Q91" s="126"/>
      <c r="R91" s="126"/>
      <c r="S91" s="126"/>
      <c r="T91" s="127"/>
      <c r="U91" s="126"/>
      <c r="V91" s="126"/>
      <c r="W91" s="17">
        <f t="shared" si="24"/>
        <v>15</v>
      </c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7">
        <f t="shared" si="21"/>
        <v>0</v>
      </c>
    </row>
    <row r="92" spans="1:36" ht="15" thickBot="1">
      <c r="A92" s="110" t="s">
        <v>159</v>
      </c>
      <c r="B92" s="103" t="s">
        <v>145</v>
      </c>
      <c r="C92" s="63"/>
      <c r="D92" s="63"/>
      <c r="E92" s="17">
        <v>643</v>
      </c>
      <c r="F92" s="49">
        <f t="shared" si="30"/>
        <v>657</v>
      </c>
      <c r="G92" s="17"/>
      <c r="H92" s="61"/>
      <c r="I92" s="50"/>
      <c r="J92" s="51"/>
      <c r="K92" s="126">
        <v>11</v>
      </c>
      <c r="L92" s="126">
        <v>3</v>
      </c>
      <c r="M92" s="126"/>
      <c r="N92" s="126"/>
      <c r="O92" s="126"/>
      <c r="P92" s="126"/>
      <c r="Q92" s="126"/>
      <c r="R92" s="126"/>
      <c r="S92" s="126"/>
      <c r="T92" s="127"/>
      <c r="U92" s="126"/>
      <c r="V92" s="126"/>
      <c r="W92" s="17">
        <f t="shared" si="24"/>
        <v>14</v>
      </c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7">
        <f t="shared" si="21"/>
        <v>0</v>
      </c>
    </row>
    <row r="93" spans="1:36" ht="15" thickBot="1">
      <c r="A93" s="110" t="s">
        <v>159</v>
      </c>
      <c r="B93" s="103" t="s">
        <v>146</v>
      </c>
      <c r="C93" s="63"/>
      <c r="D93" s="63"/>
      <c r="E93" s="17">
        <v>129</v>
      </c>
      <c r="F93" s="49">
        <f t="shared" si="30"/>
        <v>131</v>
      </c>
      <c r="G93" s="17"/>
      <c r="H93" s="61"/>
      <c r="I93" s="50"/>
      <c r="J93" s="51"/>
      <c r="K93" s="126"/>
      <c r="L93" s="126">
        <v>2</v>
      </c>
      <c r="M93" s="126"/>
      <c r="N93" s="126"/>
      <c r="O93" s="126"/>
      <c r="P93" s="126"/>
      <c r="Q93" s="126"/>
      <c r="R93" s="126"/>
      <c r="S93" s="126"/>
      <c r="T93" s="127"/>
      <c r="U93" s="126"/>
      <c r="V93" s="126"/>
      <c r="W93" s="17">
        <f t="shared" si="24"/>
        <v>2</v>
      </c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7">
        <f t="shared" si="21"/>
        <v>0</v>
      </c>
    </row>
    <row r="94" spans="1:36" ht="15" thickBot="1">
      <c r="A94" s="110" t="s">
        <v>159</v>
      </c>
      <c r="B94" s="103" t="s">
        <v>147</v>
      </c>
      <c r="C94" s="63"/>
      <c r="D94" s="63"/>
      <c r="E94" s="17">
        <v>25</v>
      </c>
      <c r="F94" s="49">
        <f t="shared" si="30"/>
        <v>25</v>
      </c>
      <c r="G94" s="17"/>
      <c r="H94" s="61"/>
      <c r="I94" s="50"/>
      <c r="J94" s="51"/>
      <c r="K94" s="126"/>
      <c r="L94" s="126"/>
      <c r="M94" s="126"/>
      <c r="N94" s="126"/>
      <c r="O94" s="126"/>
      <c r="P94" s="126"/>
      <c r="Q94" s="126"/>
      <c r="R94" s="126"/>
      <c r="S94" s="126"/>
      <c r="T94" s="127"/>
      <c r="U94" s="126"/>
      <c r="V94" s="126"/>
      <c r="W94" s="17">
        <f t="shared" si="24"/>
        <v>0</v>
      </c>
      <c r="X94" s="121"/>
      <c r="Y94" s="121"/>
      <c r="Z94" s="121"/>
      <c r="AA94" s="121"/>
      <c r="AB94" s="121"/>
      <c r="AC94" s="121"/>
      <c r="AD94" s="121"/>
      <c r="AE94" s="121"/>
      <c r="AF94" s="121"/>
      <c r="AG94" s="126"/>
      <c r="AH94" s="126"/>
      <c r="AI94" s="126"/>
      <c r="AJ94" s="17">
        <f t="shared" si="21"/>
        <v>0</v>
      </c>
    </row>
    <row r="95" spans="1:36" ht="15" thickBot="1">
      <c r="A95" s="110" t="s">
        <v>159</v>
      </c>
      <c r="B95" s="103" t="s">
        <v>148</v>
      </c>
      <c r="C95" s="63"/>
      <c r="D95" s="63"/>
      <c r="E95" s="17">
        <v>42</v>
      </c>
      <c r="F95" s="49">
        <f t="shared" si="30"/>
        <v>42</v>
      </c>
      <c r="G95" s="17"/>
      <c r="H95" s="61"/>
      <c r="I95" s="50"/>
      <c r="J95" s="51"/>
      <c r="K95" s="126"/>
      <c r="L95" s="126"/>
      <c r="M95" s="126"/>
      <c r="N95" s="126"/>
      <c r="O95" s="126"/>
      <c r="P95" s="126"/>
      <c r="Q95" s="126"/>
      <c r="R95" s="126"/>
      <c r="S95" s="126"/>
      <c r="T95" s="127"/>
      <c r="U95" s="126"/>
      <c r="V95" s="126"/>
      <c r="W95" s="17">
        <f t="shared" si="24"/>
        <v>0</v>
      </c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7">
        <f t="shared" si="21"/>
        <v>0</v>
      </c>
    </row>
    <row r="96" spans="1:36" ht="15" thickBot="1">
      <c r="A96" s="110" t="s">
        <v>159</v>
      </c>
      <c r="B96" s="103" t="s">
        <v>149</v>
      </c>
      <c r="C96" s="63"/>
      <c r="D96" s="63"/>
      <c r="E96" s="17">
        <v>26</v>
      </c>
      <c r="F96" s="49">
        <f t="shared" si="30"/>
        <v>26</v>
      </c>
      <c r="G96" s="17"/>
      <c r="H96" s="61"/>
      <c r="I96" s="50"/>
      <c r="J96" s="51"/>
      <c r="K96" s="126"/>
      <c r="L96" s="126"/>
      <c r="M96" s="126"/>
      <c r="N96" s="126"/>
      <c r="O96" s="126"/>
      <c r="P96" s="126"/>
      <c r="Q96" s="126"/>
      <c r="R96" s="126"/>
      <c r="S96" s="126"/>
      <c r="T96" s="127"/>
      <c r="U96" s="126"/>
      <c r="V96" s="126"/>
      <c r="W96" s="17">
        <f t="shared" si="24"/>
        <v>0</v>
      </c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7">
        <f t="shared" si="21"/>
        <v>0</v>
      </c>
    </row>
    <row r="97" spans="1:36" ht="15" thickBot="1">
      <c r="A97" s="110" t="s">
        <v>159</v>
      </c>
      <c r="B97" s="103" t="s">
        <v>150</v>
      </c>
      <c r="C97" s="63"/>
      <c r="D97" s="63"/>
      <c r="E97" s="17">
        <v>17</v>
      </c>
      <c r="F97" s="49">
        <f t="shared" si="30"/>
        <v>17</v>
      </c>
      <c r="G97" s="17"/>
      <c r="H97" s="61"/>
      <c r="I97" s="50"/>
      <c r="J97" s="51"/>
      <c r="K97" s="126"/>
      <c r="L97" s="126"/>
      <c r="M97" s="126"/>
      <c r="N97" s="126"/>
      <c r="O97" s="126"/>
      <c r="P97" s="126"/>
      <c r="Q97" s="126"/>
      <c r="R97" s="126"/>
      <c r="S97" s="126"/>
      <c r="T97" s="127"/>
      <c r="U97" s="126"/>
      <c r="V97" s="126"/>
      <c r="W97" s="17">
        <f t="shared" si="24"/>
        <v>0</v>
      </c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7">
        <f t="shared" si="21"/>
        <v>0</v>
      </c>
    </row>
    <row r="98" spans="1:36" ht="15" thickBot="1">
      <c r="A98" s="110" t="s">
        <v>159</v>
      </c>
      <c r="B98" s="103" t="s">
        <v>151</v>
      </c>
      <c r="C98" s="63"/>
      <c r="D98" s="63"/>
      <c r="E98" s="17">
        <v>58</v>
      </c>
      <c r="F98" s="49">
        <f t="shared" si="30"/>
        <v>58</v>
      </c>
      <c r="G98" s="17"/>
      <c r="H98" s="61"/>
      <c r="I98" s="50"/>
      <c r="J98" s="51"/>
      <c r="K98" s="126"/>
      <c r="L98" s="126"/>
      <c r="M98" s="126"/>
      <c r="N98" s="126"/>
      <c r="O98" s="126"/>
      <c r="P98" s="126"/>
      <c r="Q98" s="126"/>
      <c r="R98" s="126"/>
      <c r="S98" s="126"/>
      <c r="T98" s="127"/>
      <c r="U98" s="126"/>
      <c r="V98" s="126"/>
      <c r="W98" s="17">
        <f t="shared" si="24"/>
        <v>0</v>
      </c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7">
        <f t="shared" si="21"/>
        <v>0</v>
      </c>
    </row>
    <row r="99" spans="1:36" ht="15" thickBot="1">
      <c r="A99" s="110" t="s">
        <v>159</v>
      </c>
      <c r="B99" s="103" t="s">
        <v>152</v>
      </c>
      <c r="C99" s="63"/>
      <c r="D99" s="63"/>
      <c r="E99" s="17">
        <v>7</v>
      </c>
      <c r="F99" s="49">
        <f t="shared" si="30"/>
        <v>7</v>
      </c>
      <c r="G99" s="17"/>
      <c r="H99" s="61"/>
      <c r="I99" s="50"/>
      <c r="J99" s="51"/>
      <c r="K99" s="126"/>
      <c r="L99" s="126"/>
      <c r="M99" s="126"/>
      <c r="N99" s="126"/>
      <c r="O99" s="126"/>
      <c r="P99" s="126"/>
      <c r="Q99" s="126"/>
      <c r="R99" s="126"/>
      <c r="S99" s="126"/>
      <c r="T99" s="127"/>
      <c r="U99" s="126"/>
      <c r="V99" s="126"/>
      <c r="W99" s="17">
        <f t="shared" si="24"/>
        <v>0</v>
      </c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7">
        <f t="shared" si="21"/>
        <v>0</v>
      </c>
    </row>
    <row r="100" spans="1:36" ht="15" thickBot="1">
      <c r="A100" s="110" t="s">
        <v>159</v>
      </c>
      <c r="B100" s="103" t="s">
        <v>153</v>
      </c>
      <c r="C100" s="63"/>
      <c r="D100" s="63"/>
      <c r="E100" s="17">
        <v>30</v>
      </c>
      <c r="F100" s="49">
        <f t="shared" si="30"/>
        <v>30</v>
      </c>
      <c r="G100" s="17"/>
      <c r="H100" s="61"/>
      <c r="I100" s="50"/>
      <c r="J100" s="51"/>
      <c r="K100" s="126"/>
      <c r="L100" s="126"/>
      <c r="M100" s="126"/>
      <c r="N100" s="126"/>
      <c r="O100" s="126"/>
      <c r="P100" s="126"/>
      <c r="Q100" s="126"/>
      <c r="R100" s="126"/>
      <c r="S100" s="126"/>
      <c r="T100" s="127"/>
      <c r="U100" s="126"/>
      <c r="V100" s="126"/>
      <c r="W100" s="17">
        <f t="shared" si="24"/>
        <v>0</v>
      </c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7">
        <f t="shared" si="21"/>
        <v>0</v>
      </c>
    </row>
    <row r="101" spans="1:36" ht="15" thickBot="1">
      <c r="A101" s="110" t="s">
        <v>159</v>
      </c>
      <c r="B101" s="103" t="s">
        <v>154</v>
      </c>
      <c r="C101" s="63"/>
      <c r="D101" s="63"/>
      <c r="E101" s="17">
        <v>7</v>
      </c>
      <c r="F101" s="49">
        <f t="shared" si="30"/>
        <v>7</v>
      </c>
      <c r="G101" s="17"/>
      <c r="H101" s="61"/>
      <c r="I101" s="50"/>
      <c r="J101" s="51"/>
      <c r="K101" s="126"/>
      <c r="L101" s="126"/>
      <c r="M101" s="126"/>
      <c r="N101" s="126"/>
      <c r="O101" s="126"/>
      <c r="P101" s="126"/>
      <c r="Q101" s="126"/>
      <c r="R101" s="126"/>
      <c r="S101" s="126"/>
      <c r="T101" s="127"/>
      <c r="U101" s="126"/>
      <c r="V101" s="126"/>
      <c r="W101" s="17">
        <f t="shared" si="24"/>
        <v>0</v>
      </c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7">
        <f t="shared" si="21"/>
        <v>0</v>
      </c>
    </row>
    <row r="102" spans="1:36" ht="15" thickBot="1">
      <c r="A102" s="110" t="s">
        <v>159</v>
      </c>
      <c r="B102" s="103" t="s">
        <v>155</v>
      </c>
      <c r="C102" s="63"/>
      <c r="D102" s="63"/>
      <c r="E102" s="17">
        <v>57</v>
      </c>
      <c r="F102" s="49">
        <f t="shared" si="30"/>
        <v>57</v>
      </c>
      <c r="G102" s="17"/>
      <c r="H102" s="61"/>
      <c r="I102" s="50"/>
      <c r="J102" s="51"/>
      <c r="K102" s="126"/>
      <c r="L102" s="126"/>
      <c r="M102" s="126"/>
      <c r="N102" s="126"/>
      <c r="O102" s="126"/>
      <c r="P102" s="126"/>
      <c r="Q102" s="126"/>
      <c r="R102" s="126"/>
      <c r="S102" s="126"/>
      <c r="T102" s="127"/>
      <c r="U102" s="126"/>
      <c r="V102" s="126"/>
      <c r="W102" s="17">
        <f t="shared" si="24"/>
        <v>0</v>
      </c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7">
        <f t="shared" si="21"/>
        <v>0</v>
      </c>
    </row>
    <row r="103" spans="1:36" ht="15" thickBot="1">
      <c r="A103" s="110" t="s">
        <v>159</v>
      </c>
      <c r="B103" s="103" t="s">
        <v>156</v>
      </c>
      <c r="C103" s="63"/>
      <c r="D103" s="63"/>
      <c r="E103" s="17">
        <v>40</v>
      </c>
      <c r="F103" s="49">
        <f t="shared" si="30"/>
        <v>40</v>
      </c>
      <c r="G103" s="17"/>
      <c r="H103" s="61"/>
      <c r="I103" s="50"/>
      <c r="J103" s="51"/>
      <c r="K103" s="126"/>
      <c r="L103" s="126"/>
      <c r="M103" s="126"/>
      <c r="N103" s="126"/>
      <c r="O103" s="126"/>
      <c r="P103" s="126"/>
      <c r="Q103" s="126"/>
      <c r="R103" s="126"/>
      <c r="S103" s="126"/>
      <c r="T103" s="127"/>
      <c r="U103" s="126"/>
      <c r="V103" s="126"/>
      <c r="W103" s="17">
        <f t="shared" si="24"/>
        <v>0</v>
      </c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7">
        <f t="shared" si="21"/>
        <v>0</v>
      </c>
    </row>
    <row r="104" spans="1:36" ht="15" thickBot="1">
      <c r="A104" s="110" t="s">
        <v>159</v>
      </c>
      <c r="B104" s="103" t="s">
        <v>157</v>
      </c>
      <c r="C104" s="63"/>
      <c r="D104" s="63"/>
      <c r="E104" s="17">
        <v>123</v>
      </c>
      <c r="F104" s="49">
        <f t="shared" si="30"/>
        <v>123</v>
      </c>
      <c r="G104" s="17"/>
      <c r="H104" s="61"/>
      <c r="I104" s="50"/>
      <c r="J104" s="51"/>
      <c r="K104" s="126"/>
      <c r="L104" s="126"/>
      <c r="M104" s="126"/>
      <c r="N104" s="126"/>
      <c r="O104" s="126"/>
      <c r="P104" s="126"/>
      <c r="Q104" s="126"/>
      <c r="R104" s="126"/>
      <c r="S104" s="126"/>
      <c r="T104" s="127"/>
      <c r="U104" s="126"/>
      <c r="V104" s="126"/>
      <c r="W104" s="17">
        <f t="shared" si="24"/>
        <v>0</v>
      </c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7">
        <f t="shared" si="21"/>
        <v>0</v>
      </c>
    </row>
    <row r="105" spans="1:36" ht="15" thickBot="1">
      <c r="A105" s="110" t="s">
        <v>159</v>
      </c>
      <c r="B105" s="103" t="s">
        <v>158</v>
      </c>
      <c r="C105" s="63"/>
      <c r="D105" s="63"/>
      <c r="E105" s="17">
        <v>153</v>
      </c>
      <c r="F105" s="49">
        <f t="shared" si="30"/>
        <v>161</v>
      </c>
      <c r="G105" s="17"/>
      <c r="H105" s="61"/>
      <c r="I105" s="50"/>
      <c r="J105" s="51"/>
      <c r="K105" s="126">
        <v>6</v>
      </c>
      <c r="L105" s="126">
        <v>2</v>
      </c>
      <c r="M105" s="126"/>
      <c r="N105" s="126"/>
      <c r="O105" s="126"/>
      <c r="P105" s="126"/>
      <c r="Q105" s="126"/>
      <c r="R105" s="126"/>
      <c r="S105" s="126"/>
      <c r="T105" s="127"/>
      <c r="U105" s="126"/>
      <c r="V105" s="126"/>
      <c r="W105" s="17">
        <f t="shared" si="24"/>
        <v>8</v>
      </c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7">
        <f>SUM(X105:AI105)</f>
        <v>0</v>
      </c>
    </row>
    <row r="106" spans="1:39" ht="15" thickBot="1">
      <c r="A106" s="196" t="s">
        <v>206</v>
      </c>
      <c r="B106" s="197"/>
      <c r="C106" s="45">
        <f>+D106/Metas!Q33</f>
        <v>0.7151546728424454</v>
      </c>
      <c r="D106" s="19">
        <f>+F106/AK106</f>
        <v>0.157334028025338</v>
      </c>
      <c r="E106" s="14">
        <f aca="true" t="shared" si="31" ref="E106:K106">SUM(E90:E105)</f>
        <v>1797</v>
      </c>
      <c r="F106" s="14">
        <f>SUM(F90:F105)</f>
        <v>1836</v>
      </c>
      <c r="G106" s="14">
        <f t="shared" si="31"/>
        <v>0</v>
      </c>
      <c r="H106" s="14">
        <f t="shared" si="31"/>
        <v>0</v>
      </c>
      <c r="I106" s="14">
        <f>SUM(I90:I105)</f>
        <v>0</v>
      </c>
      <c r="J106" s="14">
        <f t="shared" si="31"/>
        <v>0</v>
      </c>
      <c r="K106" s="14">
        <f t="shared" si="31"/>
        <v>23</v>
      </c>
      <c r="L106" s="14">
        <f aca="true" t="shared" si="32" ref="L106:V106">SUM(L90:L105)</f>
        <v>16</v>
      </c>
      <c r="M106" s="14">
        <f t="shared" si="32"/>
        <v>0</v>
      </c>
      <c r="N106" s="14">
        <f t="shared" si="32"/>
        <v>0</v>
      </c>
      <c r="O106" s="14">
        <f t="shared" si="32"/>
        <v>0</v>
      </c>
      <c r="P106" s="14">
        <f t="shared" si="32"/>
        <v>0</v>
      </c>
      <c r="Q106" s="14">
        <f t="shared" si="32"/>
        <v>0</v>
      </c>
      <c r="R106" s="14">
        <f t="shared" si="32"/>
        <v>0</v>
      </c>
      <c r="S106" s="14">
        <f t="shared" si="32"/>
        <v>0</v>
      </c>
      <c r="T106" s="14">
        <f t="shared" si="32"/>
        <v>0</v>
      </c>
      <c r="U106" s="14">
        <f t="shared" si="32"/>
        <v>0</v>
      </c>
      <c r="V106" s="14">
        <f t="shared" si="32"/>
        <v>0</v>
      </c>
      <c r="W106" s="14">
        <f t="shared" si="24"/>
        <v>39</v>
      </c>
      <c r="X106" s="14">
        <f aca="true" t="shared" si="33" ref="X106:AI106">SUM(X90:X105)</f>
        <v>0</v>
      </c>
      <c r="Y106" s="14">
        <f t="shared" si="33"/>
        <v>0</v>
      </c>
      <c r="Z106" s="14">
        <f t="shared" si="33"/>
        <v>0</v>
      </c>
      <c r="AA106" s="14">
        <f t="shared" si="33"/>
        <v>0</v>
      </c>
      <c r="AB106" s="14">
        <f t="shared" si="33"/>
        <v>0</v>
      </c>
      <c r="AC106" s="14">
        <f t="shared" si="33"/>
        <v>0</v>
      </c>
      <c r="AD106" s="14">
        <f t="shared" si="33"/>
        <v>0</v>
      </c>
      <c r="AE106" s="14">
        <f t="shared" si="33"/>
        <v>0</v>
      </c>
      <c r="AF106" s="14">
        <f t="shared" si="33"/>
        <v>0</v>
      </c>
      <c r="AG106" s="14">
        <f t="shared" si="33"/>
        <v>0</v>
      </c>
      <c r="AH106" s="14">
        <f t="shared" si="33"/>
        <v>0</v>
      </c>
      <c r="AI106" s="14">
        <f t="shared" si="33"/>
        <v>0</v>
      </c>
      <c r="AJ106" s="14">
        <f t="shared" si="21"/>
        <v>0</v>
      </c>
      <c r="AK106" s="14">
        <f>+AL106+AM106</f>
        <v>11669.439999999999</v>
      </c>
      <c r="AL106" s="14">
        <f>86744*0.1</f>
        <v>8674.4</v>
      </c>
      <c r="AM106" s="14">
        <f>37438*0.08</f>
        <v>2995.04</v>
      </c>
    </row>
    <row r="107" spans="1:36" ht="15" thickBot="1">
      <c r="A107" s="110" t="s">
        <v>172</v>
      </c>
      <c r="B107" s="103" t="s">
        <v>160</v>
      </c>
      <c r="C107" s="63"/>
      <c r="D107" s="63"/>
      <c r="E107" s="17">
        <v>2</v>
      </c>
      <c r="F107" s="49">
        <f aca="true" t="shared" si="34" ref="F107:F118">+E107+(K107+L107+M107)-(X107+Y107+Z107)</f>
        <v>2</v>
      </c>
      <c r="G107" s="17"/>
      <c r="H107" s="61"/>
      <c r="I107" s="50"/>
      <c r="J107" s="51"/>
      <c r="K107" s="126"/>
      <c r="L107" s="126"/>
      <c r="M107" s="126"/>
      <c r="N107" s="126"/>
      <c r="O107" s="126"/>
      <c r="P107" s="126"/>
      <c r="Q107" s="126"/>
      <c r="R107" s="126"/>
      <c r="S107" s="126"/>
      <c r="T107" s="127"/>
      <c r="U107" s="126"/>
      <c r="V107" s="126"/>
      <c r="W107" s="17">
        <f t="shared" si="24"/>
        <v>0</v>
      </c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7">
        <f t="shared" si="21"/>
        <v>0</v>
      </c>
    </row>
    <row r="108" spans="1:36" ht="15" thickBot="1">
      <c r="A108" s="110" t="s">
        <v>172</v>
      </c>
      <c r="B108" s="103" t="s">
        <v>161</v>
      </c>
      <c r="C108" s="63"/>
      <c r="D108" s="63"/>
      <c r="E108" s="17">
        <v>8</v>
      </c>
      <c r="F108" s="49">
        <f t="shared" si="34"/>
        <v>8</v>
      </c>
      <c r="G108" s="17"/>
      <c r="H108" s="61"/>
      <c r="I108" s="50"/>
      <c r="J108" s="51"/>
      <c r="K108" s="126"/>
      <c r="L108" s="126"/>
      <c r="M108" s="126"/>
      <c r="N108" s="126"/>
      <c r="O108" s="126"/>
      <c r="P108" s="126"/>
      <c r="Q108" s="126"/>
      <c r="R108" s="126"/>
      <c r="S108" s="126"/>
      <c r="T108" s="127"/>
      <c r="U108" s="126"/>
      <c r="V108" s="126"/>
      <c r="W108" s="17">
        <f t="shared" si="24"/>
        <v>0</v>
      </c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7">
        <f t="shared" si="21"/>
        <v>0</v>
      </c>
    </row>
    <row r="109" spans="1:36" ht="15" thickBot="1">
      <c r="A109" s="110" t="s">
        <v>172</v>
      </c>
      <c r="B109" s="103" t="s">
        <v>162</v>
      </c>
      <c r="C109" s="63"/>
      <c r="D109" s="63"/>
      <c r="E109" s="17">
        <v>6</v>
      </c>
      <c r="F109" s="49">
        <f t="shared" si="34"/>
        <v>6</v>
      </c>
      <c r="G109" s="17"/>
      <c r="H109" s="61"/>
      <c r="I109" s="50"/>
      <c r="J109" s="51"/>
      <c r="K109" s="126"/>
      <c r="L109" s="126"/>
      <c r="M109" s="126"/>
      <c r="N109" s="126"/>
      <c r="O109" s="126"/>
      <c r="P109" s="126"/>
      <c r="Q109" s="126"/>
      <c r="R109" s="126"/>
      <c r="S109" s="126"/>
      <c r="T109" s="127"/>
      <c r="U109" s="126"/>
      <c r="V109" s="126"/>
      <c r="W109" s="17">
        <f t="shared" si="24"/>
        <v>0</v>
      </c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7">
        <f t="shared" si="21"/>
        <v>0</v>
      </c>
    </row>
    <row r="110" spans="1:36" ht="15" thickBot="1">
      <c r="A110" s="110" t="s">
        <v>172</v>
      </c>
      <c r="B110" s="103" t="s">
        <v>163</v>
      </c>
      <c r="C110" s="63"/>
      <c r="D110" s="63"/>
      <c r="E110" s="17">
        <v>15</v>
      </c>
      <c r="F110" s="49">
        <f t="shared" si="34"/>
        <v>15</v>
      </c>
      <c r="G110" s="17"/>
      <c r="H110" s="61"/>
      <c r="I110" s="50"/>
      <c r="J110" s="51"/>
      <c r="K110" s="126"/>
      <c r="L110" s="126"/>
      <c r="M110" s="126"/>
      <c r="N110" s="126"/>
      <c r="O110" s="126"/>
      <c r="P110" s="126"/>
      <c r="Q110" s="126"/>
      <c r="R110" s="126"/>
      <c r="S110" s="126"/>
      <c r="T110" s="127"/>
      <c r="U110" s="126"/>
      <c r="V110" s="126"/>
      <c r="W110" s="17">
        <f t="shared" si="24"/>
        <v>0</v>
      </c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7">
        <f t="shared" si="21"/>
        <v>0</v>
      </c>
    </row>
    <row r="111" spans="1:36" ht="15" thickBot="1">
      <c r="A111" s="110" t="s">
        <v>172</v>
      </c>
      <c r="B111" s="103" t="s">
        <v>164</v>
      </c>
      <c r="C111" s="63"/>
      <c r="D111" s="63"/>
      <c r="E111" s="17">
        <v>15</v>
      </c>
      <c r="F111" s="49">
        <f t="shared" si="34"/>
        <v>15</v>
      </c>
      <c r="G111" s="17"/>
      <c r="H111" s="61"/>
      <c r="I111" s="50"/>
      <c r="J111" s="51"/>
      <c r="K111" s="126"/>
      <c r="L111" s="126"/>
      <c r="M111" s="126"/>
      <c r="N111" s="126"/>
      <c r="O111" s="126"/>
      <c r="P111" s="126"/>
      <c r="Q111" s="126"/>
      <c r="R111" s="126"/>
      <c r="S111" s="126"/>
      <c r="T111" s="127"/>
      <c r="U111" s="126"/>
      <c r="V111" s="126"/>
      <c r="W111" s="17">
        <f t="shared" si="24"/>
        <v>0</v>
      </c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  <c r="AI111" s="126"/>
      <c r="AJ111" s="17">
        <f t="shared" si="21"/>
        <v>0</v>
      </c>
    </row>
    <row r="112" spans="1:36" ht="15" thickBot="1">
      <c r="A112" s="110" t="s">
        <v>172</v>
      </c>
      <c r="B112" s="103" t="s">
        <v>165</v>
      </c>
      <c r="C112" s="63"/>
      <c r="D112" s="63"/>
      <c r="E112" s="17">
        <v>5</v>
      </c>
      <c r="F112" s="49">
        <f t="shared" si="34"/>
        <v>5</v>
      </c>
      <c r="G112" s="17"/>
      <c r="H112" s="61"/>
      <c r="I112" s="50"/>
      <c r="J112" s="51"/>
      <c r="K112" s="126"/>
      <c r="L112" s="126"/>
      <c r="M112" s="126"/>
      <c r="N112" s="126"/>
      <c r="O112" s="126"/>
      <c r="P112" s="126"/>
      <c r="Q112" s="126"/>
      <c r="R112" s="126"/>
      <c r="S112" s="126"/>
      <c r="T112" s="127"/>
      <c r="U112" s="126"/>
      <c r="V112" s="126"/>
      <c r="W112" s="17">
        <f t="shared" si="24"/>
        <v>0</v>
      </c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  <c r="AH112" s="126"/>
      <c r="AI112" s="126"/>
      <c r="AJ112" s="17">
        <f t="shared" si="21"/>
        <v>0</v>
      </c>
    </row>
    <row r="113" spans="1:36" ht="15" thickBot="1">
      <c r="A113" s="110" t="s">
        <v>172</v>
      </c>
      <c r="B113" s="103" t="s">
        <v>166</v>
      </c>
      <c r="C113" s="63"/>
      <c r="D113" s="63"/>
      <c r="E113" s="17">
        <v>14</v>
      </c>
      <c r="F113" s="49">
        <f t="shared" si="34"/>
        <v>15</v>
      </c>
      <c r="G113" s="17"/>
      <c r="H113" s="61"/>
      <c r="I113" s="50"/>
      <c r="J113" s="51"/>
      <c r="K113" s="126">
        <v>1</v>
      </c>
      <c r="L113" s="126"/>
      <c r="M113" s="126"/>
      <c r="N113" s="126"/>
      <c r="O113" s="126"/>
      <c r="P113" s="126"/>
      <c r="Q113" s="126"/>
      <c r="R113" s="126"/>
      <c r="S113" s="126"/>
      <c r="T113" s="127"/>
      <c r="U113" s="126"/>
      <c r="V113" s="126"/>
      <c r="W113" s="17">
        <f t="shared" si="24"/>
        <v>1</v>
      </c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  <c r="AH113" s="126"/>
      <c r="AI113" s="126"/>
      <c r="AJ113" s="17">
        <f t="shared" si="21"/>
        <v>0</v>
      </c>
    </row>
    <row r="114" spans="1:36" ht="15" thickBot="1">
      <c r="A114" s="110" t="s">
        <v>172</v>
      </c>
      <c r="B114" s="103" t="s">
        <v>167</v>
      </c>
      <c r="C114" s="63"/>
      <c r="D114" s="63"/>
      <c r="E114" s="17">
        <v>18</v>
      </c>
      <c r="F114" s="49">
        <f t="shared" si="34"/>
        <v>18</v>
      </c>
      <c r="G114" s="17"/>
      <c r="H114" s="61"/>
      <c r="I114" s="50"/>
      <c r="J114" s="51"/>
      <c r="K114" s="126"/>
      <c r="L114" s="126"/>
      <c r="M114" s="126"/>
      <c r="N114" s="126"/>
      <c r="O114" s="126"/>
      <c r="P114" s="126"/>
      <c r="Q114" s="126"/>
      <c r="R114" s="126"/>
      <c r="S114" s="126"/>
      <c r="T114" s="127"/>
      <c r="U114" s="126"/>
      <c r="V114" s="126"/>
      <c r="W114" s="17">
        <f t="shared" si="24"/>
        <v>0</v>
      </c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7">
        <f t="shared" si="21"/>
        <v>0</v>
      </c>
    </row>
    <row r="115" spans="1:36" ht="15" thickBot="1">
      <c r="A115" s="110" t="s">
        <v>172</v>
      </c>
      <c r="B115" s="103" t="s">
        <v>168</v>
      </c>
      <c r="C115" s="63"/>
      <c r="D115" s="63"/>
      <c r="E115" s="17">
        <v>17</v>
      </c>
      <c r="F115" s="49">
        <f t="shared" si="34"/>
        <v>17</v>
      </c>
      <c r="G115" s="17"/>
      <c r="H115" s="61"/>
      <c r="I115" s="50"/>
      <c r="J115" s="51"/>
      <c r="K115" s="126"/>
      <c r="L115" s="126"/>
      <c r="M115" s="126"/>
      <c r="N115" s="126"/>
      <c r="O115" s="126"/>
      <c r="P115" s="126"/>
      <c r="Q115" s="126"/>
      <c r="R115" s="126"/>
      <c r="S115" s="126"/>
      <c r="T115" s="127"/>
      <c r="U115" s="126"/>
      <c r="V115" s="126"/>
      <c r="W115" s="17">
        <f t="shared" si="24"/>
        <v>0</v>
      </c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7">
        <f t="shared" si="21"/>
        <v>0</v>
      </c>
    </row>
    <row r="116" spans="1:36" ht="15" thickBot="1">
      <c r="A116" s="110" t="s">
        <v>172</v>
      </c>
      <c r="B116" s="103" t="s">
        <v>169</v>
      </c>
      <c r="C116" s="63"/>
      <c r="D116" s="63"/>
      <c r="E116" s="17">
        <v>7</v>
      </c>
      <c r="F116" s="49">
        <f t="shared" si="34"/>
        <v>7</v>
      </c>
      <c r="G116" s="17"/>
      <c r="H116" s="61"/>
      <c r="I116" s="50"/>
      <c r="J116" s="51"/>
      <c r="K116" s="126"/>
      <c r="L116" s="126"/>
      <c r="M116" s="126"/>
      <c r="N116" s="126"/>
      <c r="O116" s="126"/>
      <c r="P116" s="126"/>
      <c r="Q116" s="126"/>
      <c r="R116" s="126"/>
      <c r="S116" s="126"/>
      <c r="T116" s="127"/>
      <c r="U116" s="126"/>
      <c r="V116" s="126"/>
      <c r="W116" s="17">
        <f t="shared" si="24"/>
        <v>0</v>
      </c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  <c r="AH116" s="126"/>
      <c r="AI116" s="126"/>
      <c r="AJ116" s="17">
        <f t="shared" si="21"/>
        <v>0</v>
      </c>
    </row>
    <row r="117" spans="1:36" ht="15" thickBot="1">
      <c r="A117" s="110" t="s">
        <v>172</v>
      </c>
      <c r="B117" s="103" t="s">
        <v>170</v>
      </c>
      <c r="C117" s="63"/>
      <c r="D117" s="63"/>
      <c r="E117" s="17">
        <v>12</v>
      </c>
      <c r="F117" s="49">
        <f t="shared" si="34"/>
        <v>12</v>
      </c>
      <c r="G117" s="17"/>
      <c r="H117" s="61"/>
      <c r="I117" s="50"/>
      <c r="J117" s="51"/>
      <c r="K117" s="126"/>
      <c r="L117" s="126"/>
      <c r="M117" s="126"/>
      <c r="N117" s="126"/>
      <c r="O117" s="126"/>
      <c r="P117" s="126"/>
      <c r="Q117" s="126"/>
      <c r="R117" s="126"/>
      <c r="S117" s="126"/>
      <c r="T117" s="127"/>
      <c r="U117" s="126"/>
      <c r="V117" s="126"/>
      <c r="W117" s="17">
        <f t="shared" si="24"/>
        <v>0</v>
      </c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7">
        <f t="shared" si="21"/>
        <v>0</v>
      </c>
    </row>
    <row r="118" spans="1:36" ht="15" thickBot="1">
      <c r="A118" s="110" t="s">
        <v>172</v>
      </c>
      <c r="B118" s="103" t="s">
        <v>171</v>
      </c>
      <c r="C118" s="63"/>
      <c r="D118" s="63"/>
      <c r="E118" s="17">
        <v>4</v>
      </c>
      <c r="F118" s="49">
        <f t="shared" si="34"/>
        <v>4</v>
      </c>
      <c r="G118" s="17"/>
      <c r="H118" s="61"/>
      <c r="I118" s="50"/>
      <c r="J118" s="51"/>
      <c r="K118" s="126"/>
      <c r="L118" s="126"/>
      <c r="M118" s="126"/>
      <c r="N118" s="126"/>
      <c r="O118" s="126"/>
      <c r="P118" s="126"/>
      <c r="Q118" s="126"/>
      <c r="R118" s="126"/>
      <c r="S118" s="126"/>
      <c r="T118" s="127"/>
      <c r="U118" s="126"/>
      <c r="V118" s="126"/>
      <c r="W118" s="17">
        <f t="shared" si="24"/>
        <v>0</v>
      </c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7">
        <f t="shared" si="21"/>
        <v>0</v>
      </c>
    </row>
    <row r="119" spans="1:39" ht="24" customHeight="1" thickBot="1">
      <c r="A119" s="196" t="s">
        <v>207</v>
      </c>
      <c r="B119" s="197"/>
      <c r="C119" s="45">
        <f>+D119/Metas!Q27</f>
        <v>0.6135418583984974</v>
      </c>
      <c r="D119" s="19">
        <f>+F119/AK119</f>
        <v>0.13497920884766942</v>
      </c>
      <c r="E119" s="14">
        <f aca="true" t="shared" si="35" ref="E119:K119">SUM(E107:E118)</f>
        <v>123</v>
      </c>
      <c r="F119" s="14">
        <f>SUM(F107:F118)</f>
        <v>124</v>
      </c>
      <c r="G119" s="14">
        <f t="shared" si="35"/>
        <v>0</v>
      </c>
      <c r="H119" s="14">
        <f t="shared" si="35"/>
        <v>0</v>
      </c>
      <c r="I119" s="14">
        <f>SUM(I107:I118)</f>
        <v>0</v>
      </c>
      <c r="J119" s="14">
        <f t="shared" si="35"/>
        <v>0</v>
      </c>
      <c r="K119" s="14">
        <f t="shared" si="35"/>
        <v>1</v>
      </c>
      <c r="L119" s="14">
        <f aca="true" t="shared" si="36" ref="L119:V119">SUM(L107:L118)</f>
        <v>0</v>
      </c>
      <c r="M119" s="14">
        <f t="shared" si="36"/>
        <v>0</v>
      </c>
      <c r="N119" s="14">
        <f t="shared" si="36"/>
        <v>0</v>
      </c>
      <c r="O119" s="14">
        <f t="shared" si="36"/>
        <v>0</v>
      </c>
      <c r="P119" s="14">
        <f t="shared" si="36"/>
        <v>0</v>
      </c>
      <c r="Q119" s="14">
        <f t="shared" si="36"/>
        <v>0</v>
      </c>
      <c r="R119" s="14">
        <f t="shared" si="36"/>
        <v>0</v>
      </c>
      <c r="S119" s="14">
        <f t="shared" si="36"/>
        <v>0</v>
      </c>
      <c r="T119" s="14">
        <f t="shared" si="36"/>
        <v>0</v>
      </c>
      <c r="U119" s="14">
        <f t="shared" si="36"/>
        <v>0</v>
      </c>
      <c r="V119" s="14">
        <f t="shared" si="36"/>
        <v>0</v>
      </c>
      <c r="W119" s="14">
        <f t="shared" si="24"/>
        <v>1</v>
      </c>
      <c r="X119" s="14">
        <f aca="true" t="shared" si="37" ref="X119:AI119">SUM(X107:X118)</f>
        <v>0</v>
      </c>
      <c r="Y119" s="14">
        <f t="shared" si="37"/>
        <v>0</v>
      </c>
      <c r="Z119" s="14">
        <f t="shared" si="37"/>
        <v>0</v>
      </c>
      <c r="AA119" s="14">
        <f t="shared" si="37"/>
        <v>0</v>
      </c>
      <c r="AB119" s="14">
        <f t="shared" si="37"/>
        <v>0</v>
      </c>
      <c r="AC119" s="14">
        <f t="shared" si="37"/>
        <v>0</v>
      </c>
      <c r="AD119" s="14">
        <f t="shared" si="37"/>
        <v>0</v>
      </c>
      <c r="AE119" s="14">
        <f t="shared" si="37"/>
        <v>0</v>
      </c>
      <c r="AF119" s="14">
        <f t="shared" si="37"/>
        <v>0</v>
      </c>
      <c r="AG119" s="14">
        <f t="shared" si="37"/>
        <v>0</v>
      </c>
      <c r="AH119" s="14">
        <f t="shared" si="37"/>
        <v>0</v>
      </c>
      <c r="AI119" s="14">
        <f t="shared" si="37"/>
        <v>0</v>
      </c>
      <c r="AJ119" s="14">
        <f t="shared" si="21"/>
        <v>0</v>
      </c>
      <c r="AK119" s="14">
        <f>+AL119+AM119</f>
        <v>918.6600000000001</v>
      </c>
      <c r="AL119" s="14">
        <f>6453*0.1</f>
        <v>645.3000000000001</v>
      </c>
      <c r="AM119" s="14">
        <f>3417*0.08</f>
        <v>273.36</v>
      </c>
    </row>
    <row r="120" spans="1:36" ht="15" thickBot="1">
      <c r="A120" s="110" t="s">
        <v>186</v>
      </c>
      <c r="B120" s="103" t="s">
        <v>173</v>
      </c>
      <c r="C120" s="63"/>
      <c r="D120" s="63"/>
      <c r="E120" s="17">
        <v>271</v>
      </c>
      <c r="F120" s="49">
        <f aca="true" t="shared" si="38" ref="F120:F132">+E120+(K120+L120+M120)-(X120+Y120+Z120)</f>
        <v>277</v>
      </c>
      <c r="G120" s="17"/>
      <c r="H120" s="61"/>
      <c r="I120" s="50"/>
      <c r="J120" s="51"/>
      <c r="K120" s="126">
        <v>5</v>
      </c>
      <c r="L120" s="126">
        <v>1</v>
      </c>
      <c r="M120" s="126"/>
      <c r="N120" s="126"/>
      <c r="O120" s="126"/>
      <c r="P120" s="126"/>
      <c r="Q120" s="126"/>
      <c r="R120" s="126"/>
      <c r="S120" s="126"/>
      <c r="T120" s="127"/>
      <c r="U120" s="126"/>
      <c r="V120" s="126"/>
      <c r="W120" s="17">
        <f t="shared" si="24"/>
        <v>6</v>
      </c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7">
        <f t="shared" si="21"/>
        <v>0</v>
      </c>
    </row>
    <row r="121" spans="1:36" ht="15" thickBot="1">
      <c r="A121" s="110" t="s">
        <v>186</v>
      </c>
      <c r="B121" s="103" t="s">
        <v>174</v>
      </c>
      <c r="C121" s="63"/>
      <c r="D121" s="63"/>
      <c r="E121" s="17">
        <v>79</v>
      </c>
      <c r="F121" s="49">
        <f t="shared" si="38"/>
        <v>79</v>
      </c>
      <c r="G121" s="17"/>
      <c r="H121" s="61"/>
      <c r="I121" s="50"/>
      <c r="J121" s="51"/>
      <c r="K121" s="126"/>
      <c r="L121" s="126"/>
      <c r="M121" s="126"/>
      <c r="N121" s="126"/>
      <c r="O121" s="126"/>
      <c r="P121" s="126"/>
      <c r="Q121" s="126"/>
      <c r="R121" s="126"/>
      <c r="S121" s="126"/>
      <c r="T121" s="127"/>
      <c r="U121" s="126"/>
      <c r="V121" s="126"/>
      <c r="W121" s="17">
        <f t="shared" si="24"/>
        <v>0</v>
      </c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126"/>
      <c r="AJ121" s="17">
        <f t="shared" si="21"/>
        <v>0</v>
      </c>
    </row>
    <row r="122" spans="1:36" ht="15" thickBot="1">
      <c r="A122" s="110" t="s">
        <v>186</v>
      </c>
      <c r="B122" s="103" t="s">
        <v>175</v>
      </c>
      <c r="C122" s="63"/>
      <c r="D122" s="63"/>
      <c r="E122" s="17">
        <v>77</v>
      </c>
      <c r="F122" s="49">
        <f t="shared" si="38"/>
        <v>77</v>
      </c>
      <c r="G122" s="17"/>
      <c r="H122" s="61"/>
      <c r="I122" s="50"/>
      <c r="J122" s="51"/>
      <c r="K122" s="126"/>
      <c r="L122" s="126"/>
      <c r="M122" s="126"/>
      <c r="N122" s="126"/>
      <c r="O122" s="126"/>
      <c r="P122" s="126"/>
      <c r="Q122" s="126"/>
      <c r="R122" s="126"/>
      <c r="S122" s="126"/>
      <c r="T122" s="127"/>
      <c r="U122" s="126"/>
      <c r="V122" s="126"/>
      <c r="W122" s="17">
        <f t="shared" si="24"/>
        <v>0</v>
      </c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7">
        <f t="shared" si="21"/>
        <v>0</v>
      </c>
    </row>
    <row r="123" spans="1:36" ht="15" thickBot="1">
      <c r="A123" s="110" t="s">
        <v>186</v>
      </c>
      <c r="B123" s="103" t="s">
        <v>176</v>
      </c>
      <c r="C123" s="63"/>
      <c r="D123" s="63"/>
      <c r="E123" s="17">
        <v>112</v>
      </c>
      <c r="F123" s="49">
        <f t="shared" si="38"/>
        <v>111</v>
      </c>
      <c r="G123" s="17"/>
      <c r="H123" s="61"/>
      <c r="I123" s="50"/>
      <c r="J123" s="51"/>
      <c r="K123" s="126">
        <v>1</v>
      </c>
      <c r="L123" s="126">
        <v>2</v>
      </c>
      <c r="M123" s="126"/>
      <c r="N123" s="126"/>
      <c r="O123" s="126"/>
      <c r="P123" s="126"/>
      <c r="Q123" s="126"/>
      <c r="R123" s="126"/>
      <c r="S123" s="126"/>
      <c r="T123" s="127"/>
      <c r="U123" s="126"/>
      <c r="V123" s="126"/>
      <c r="W123" s="17">
        <f t="shared" si="24"/>
        <v>3</v>
      </c>
      <c r="X123" s="126">
        <v>1</v>
      </c>
      <c r="Y123" s="126">
        <v>3</v>
      </c>
      <c r="Z123" s="126"/>
      <c r="AA123" s="126"/>
      <c r="AB123" s="126"/>
      <c r="AC123" s="126"/>
      <c r="AD123" s="126"/>
      <c r="AE123" s="126"/>
      <c r="AF123" s="126"/>
      <c r="AG123" s="126"/>
      <c r="AH123" s="126"/>
      <c r="AI123" s="126"/>
      <c r="AJ123" s="17">
        <f t="shared" si="21"/>
        <v>4</v>
      </c>
    </row>
    <row r="124" spans="1:36" ht="15" thickBot="1">
      <c r="A124" s="110" t="s">
        <v>186</v>
      </c>
      <c r="B124" s="103" t="s">
        <v>177</v>
      </c>
      <c r="C124" s="63"/>
      <c r="D124" s="63"/>
      <c r="E124" s="17"/>
      <c r="F124" s="49">
        <f t="shared" si="38"/>
        <v>0</v>
      </c>
      <c r="G124" s="17"/>
      <c r="H124" s="61"/>
      <c r="I124" s="50"/>
      <c r="J124" s="51"/>
      <c r="K124" s="126"/>
      <c r="L124" s="126"/>
      <c r="M124" s="126"/>
      <c r="N124" s="126"/>
      <c r="O124" s="126"/>
      <c r="P124" s="126"/>
      <c r="Q124" s="126"/>
      <c r="R124" s="126"/>
      <c r="S124" s="126"/>
      <c r="T124" s="127"/>
      <c r="U124" s="126"/>
      <c r="V124" s="126"/>
      <c r="W124" s="17">
        <f t="shared" si="24"/>
        <v>0</v>
      </c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6"/>
      <c r="AJ124" s="17">
        <f t="shared" si="21"/>
        <v>0</v>
      </c>
    </row>
    <row r="125" spans="1:36" ht="15" thickBot="1">
      <c r="A125" s="110" t="s">
        <v>186</v>
      </c>
      <c r="B125" s="103" t="s">
        <v>178</v>
      </c>
      <c r="C125" s="63"/>
      <c r="D125" s="63"/>
      <c r="E125" s="17">
        <v>10</v>
      </c>
      <c r="F125" s="49">
        <f t="shared" si="38"/>
        <v>10</v>
      </c>
      <c r="G125" s="17"/>
      <c r="H125" s="61"/>
      <c r="I125" s="50"/>
      <c r="J125" s="51"/>
      <c r="K125" s="126"/>
      <c r="L125" s="126"/>
      <c r="M125" s="126"/>
      <c r="N125" s="126"/>
      <c r="O125" s="126"/>
      <c r="P125" s="126"/>
      <c r="Q125" s="126"/>
      <c r="R125" s="126"/>
      <c r="S125" s="126"/>
      <c r="T125" s="127"/>
      <c r="U125" s="126"/>
      <c r="V125" s="126"/>
      <c r="W125" s="17">
        <f t="shared" si="24"/>
        <v>0</v>
      </c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  <c r="AI125" s="126"/>
      <c r="AJ125" s="17">
        <f t="shared" si="21"/>
        <v>0</v>
      </c>
    </row>
    <row r="126" spans="1:36" ht="15" thickBot="1">
      <c r="A126" s="110" t="s">
        <v>186</v>
      </c>
      <c r="B126" s="103" t="s">
        <v>179</v>
      </c>
      <c r="C126" s="63"/>
      <c r="D126" s="63"/>
      <c r="E126" s="17"/>
      <c r="F126" s="49">
        <f t="shared" si="38"/>
        <v>0</v>
      </c>
      <c r="G126" s="17"/>
      <c r="H126" s="61"/>
      <c r="I126" s="50"/>
      <c r="J126" s="5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7"/>
      <c r="U126" s="126"/>
      <c r="V126" s="126"/>
      <c r="W126" s="17">
        <f t="shared" si="24"/>
        <v>0</v>
      </c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  <c r="AH126" s="126"/>
      <c r="AI126" s="126"/>
      <c r="AJ126" s="17">
        <f t="shared" si="21"/>
        <v>0</v>
      </c>
    </row>
    <row r="127" spans="1:36" ht="15" thickBot="1">
      <c r="A127" s="110" t="s">
        <v>186</v>
      </c>
      <c r="B127" s="103" t="s">
        <v>180</v>
      </c>
      <c r="C127" s="63"/>
      <c r="D127" s="63"/>
      <c r="E127" s="17"/>
      <c r="F127" s="49">
        <f t="shared" si="38"/>
        <v>0</v>
      </c>
      <c r="G127" s="17"/>
      <c r="H127" s="61"/>
      <c r="I127" s="50"/>
      <c r="J127" s="51"/>
      <c r="K127" s="126"/>
      <c r="L127" s="126"/>
      <c r="M127" s="126"/>
      <c r="N127" s="126"/>
      <c r="O127" s="126"/>
      <c r="P127" s="126"/>
      <c r="Q127" s="126"/>
      <c r="R127" s="126"/>
      <c r="S127" s="126"/>
      <c r="T127" s="127"/>
      <c r="U127" s="126"/>
      <c r="V127" s="126"/>
      <c r="W127" s="17">
        <f t="shared" si="24"/>
        <v>0</v>
      </c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6"/>
      <c r="AH127" s="126"/>
      <c r="AI127" s="126"/>
      <c r="AJ127" s="17">
        <f t="shared" si="21"/>
        <v>0</v>
      </c>
    </row>
    <row r="128" spans="1:36" ht="14.25" customHeight="1" thickBot="1">
      <c r="A128" s="110" t="s">
        <v>186</v>
      </c>
      <c r="B128" s="103" t="s">
        <v>181</v>
      </c>
      <c r="C128" s="63"/>
      <c r="D128" s="63"/>
      <c r="E128" s="17">
        <v>20</v>
      </c>
      <c r="F128" s="49">
        <f t="shared" si="38"/>
        <v>20</v>
      </c>
      <c r="G128" s="17"/>
      <c r="H128" s="61"/>
      <c r="I128" s="50"/>
      <c r="J128" s="51"/>
      <c r="K128" s="126"/>
      <c r="L128" s="126"/>
      <c r="M128" s="126"/>
      <c r="N128" s="126"/>
      <c r="O128" s="126"/>
      <c r="P128" s="126"/>
      <c r="Q128" s="126"/>
      <c r="R128" s="126"/>
      <c r="S128" s="126"/>
      <c r="T128" s="127"/>
      <c r="U128" s="126"/>
      <c r="V128" s="126"/>
      <c r="W128" s="17">
        <f t="shared" si="24"/>
        <v>0</v>
      </c>
      <c r="X128" s="126"/>
      <c r="Y128" s="126"/>
      <c r="Z128" s="126"/>
      <c r="AA128" s="126"/>
      <c r="AB128" s="126"/>
      <c r="AC128" s="126"/>
      <c r="AD128" s="126"/>
      <c r="AE128" s="126"/>
      <c r="AF128" s="126"/>
      <c r="AG128" s="126"/>
      <c r="AH128" s="126"/>
      <c r="AI128" s="126"/>
      <c r="AJ128" s="17">
        <f t="shared" si="21"/>
        <v>0</v>
      </c>
    </row>
    <row r="129" spans="1:36" ht="15" thickBot="1">
      <c r="A129" s="110" t="s">
        <v>186</v>
      </c>
      <c r="B129" s="103" t="s">
        <v>182</v>
      </c>
      <c r="C129" s="63"/>
      <c r="D129" s="63"/>
      <c r="E129" s="17">
        <v>7</v>
      </c>
      <c r="F129" s="49">
        <f t="shared" si="38"/>
        <v>7</v>
      </c>
      <c r="G129" s="17"/>
      <c r="H129" s="61"/>
      <c r="I129" s="50"/>
      <c r="J129" s="51"/>
      <c r="K129" s="126"/>
      <c r="L129" s="126"/>
      <c r="M129" s="126"/>
      <c r="N129" s="126"/>
      <c r="O129" s="126"/>
      <c r="P129" s="126"/>
      <c r="Q129" s="126"/>
      <c r="R129" s="126"/>
      <c r="S129" s="126"/>
      <c r="T129" s="127"/>
      <c r="U129" s="126"/>
      <c r="V129" s="126"/>
      <c r="W129" s="17">
        <f t="shared" si="24"/>
        <v>0</v>
      </c>
      <c r="X129" s="126"/>
      <c r="Y129" s="126"/>
      <c r="Z129" s="126"/>
      <c r="AA129" s="126"/>
      <c r="AB129" s="126"/>
      <c r="AC129" s="126"/>
      <c r="AD129" s="126"/>
      <c r="AE129" s="126"/>
      <c r="AF129" s="126"/>
      <c r="AG129" s="126"/>
      <c r="AH129" s="126"/>
      <c r="AI129" s="126"/>
      <c r="AJ129" s="17">
        <f t="shared" si="21"/>
        <v>0</v>
      </c>
    </row>
    <row r="130" spans="1:36" ht="15" thickBot="1">
      <c r="A130" s="110" t="s">
        <v>186</v>
      </c>
      <c r="B130" s="103" t="s">
        <v>183</v>
      </c>
      <c r="C130" s="63"/>
      <c r="D130" s="63"/>
      <c r="E130" s="17"/>
      <c r="F130" s="49">
        <f t="shared" si="38"/>
        <v>0</v>
      </c>
      <c r="G130" s="17"/>
      <c r="H130" s="61"/>
      <c r="I130" s="50"/>
      <c r="J130" s="51"/>
      <c r="K130" s="128"/>
      <c r="L130" s="128"/>
      <c r="M130" s="128"/>
      <c r="N130" s="128"/>
      <c r="O130" s="128"/>
      <c r="P130" s="128"/>
      <c r="Q130" s="128"/>
      <c r="R130" s="128"/>
      <c r="S130" s="128"/>
      <c r="T130" s="127"/>
      <c r="U130" s="128"/>
      <c r="V130" s="128"/>
      <c r="W130" s="17">
        <f t="shared" si="24"/>
        <v>0</v>
      </c>
      <c r="X130" s="126"/>
      <c r="Y130" s="126"/>
      <c r="Z130" s="126"/>
      <c r="AA130" s="126"/>
      <c r="AB130" s="126"/>
      <c r="AC130" s="126"/>
      <c r="AD130" s="126"/>
      <c r="AE130" s="126"/>
      <c r="AF130" s="126"/>
      <c r="AG130" s="128"/>
      <c r="AH130" s="128"/>
      <c r="AI130" s="128"/>
      <c r="AJ130" s="17">
        <f>SUM(X130:AI130)</f>
        <v>0</v>
      </c>
    </row>
    <row r="131" spans="1:36" ht="15" thickBot="1">
      <c r="A131" s="110" t="s">
        <v>186</v>
      </c>
      <c r="B131" s="103" t="s">
        <v>184</v>
      </c>
      <c r="C131" s="63"/>
      <c r="D131" s="63"/>
      <c r="E131" s="17"/>
      <c r="F131" s="49">
        <f t="shared" si="38"/>
        <v>0</v>
      </c>
      <c r="G131" s="17"/>
      <c r="H131" s="61"/>
      <c r="I131" s="50"/>
      <c r="J131" s="51"/>
      <c r="K131" s="128"/>
      <c r="L131" s="128"/>
      <c r="M131" s="128"/>
      <c r="N131" s="128"/>
      <c r="O131" s="128"/>
      <c r="P131" s="128"/>
      <c r="Q131" s="128"/>
      <c r="R131" s="128"/>
      <c r="S131" s="128"/>
      <c r="T131" s="127"/>
      <c r="U131" s="128"/>
      <c r="V131" s="128"/>
      <c r="W131" s="17">
        <f t="shared" si="24"/>
        <v>0</v>
      </c>
      <c r="X131" s="128"/>
      <c r="Y131" s="128"/>
      <c r="Z131" s="128"/>
      <c r="AA131" s="128"/>
      <c r="AB131" s="128"/>
      <c r="AC131" s="128"/>
      <c r="AD131" s="128"/>
      <c r="AE131" s="128"/>
      <c r="AF131" s="128"/>
      <c r="AG131" s="128"/>
      <c r="AH131" s="128"/>
      <c r="AI131" s="128"/>
      <c r="AJ131" s="17">
        <f t="shared" si="21"/>
        <v>0</v>
      </c>
    </row>
    <row r="132" spans="1:36" ht="15" thickBot="1">
      <c r="A132" s="110" t="s">
        <v>186</v>
      </c>
      <c r="B132" s="103" t="s">
        <v>185</v>
      </c>
      <c r="C132" s="63"/>
      <c r="D132" s="63"/>
      <c r="E132" s="17"/>
      <c r="F132" s="49">
        <f t="shared" si="38"/>
        <v>0</v>
      </c>
      <c r="G132" s="17"/>
      <c r="H132" s="61"/>
      <c r="I132" s="50"/>
      <c r="J132" s="51"/>
      <c r="K132" s="128"/>
      <c r="L132" s="128"/>
      <c r="M132" s="128"/>
      <c r="N132" s="128"/>
      <c r="O132" s="128"/>
      <c r="P132" s="128"/>
      <c r="Q132" s="128"/>
      <c r="R132" s="128"/>
      <c r="S132" s="128"/>
      <c r="T132" s="127"/>
      <c r="U132" s="128"/>
      <c r="V132" s="128"/>
      <c r="W132" s="17">
        <f t="shared" si="24"/>
        <v>0</v>
      </c>
      <c r="X132" s="128"/>
      <c r="Y132" s="128"/>
      <c r="Z132" s="128"/>
      <c r="AA132" s="128"/>
      <c r="AB132" s="128"/>
      <c r="AC132" s="128"/>
      <c r="AD132" s="128"/>
      <c r="AE132" s="128"/>
      <c r="AF132" s="128"/>
      <c r="AG132" s="128"/>
      <c r="AH132" s="128"/>
      <c r="AI132" s="128"/>
      <c r="AJ132" s="17">
        <f t="shared" si="21"/>
        <v>0</v>
      </c>
    </row>
    <row r="133" spans="1:39" ht="15" thickBot="1">
      <c r="A133" s="196" t="s">
        <v>208</v>
      </c>
      <c r="B133" s="197"/>
      <c r="C133" s="45">
        <f>+D133/Metas!Q32</f>
        <v>0.6725278063045835</v>
      </c>
      <c r="D133" s="19">
        <f>+F133/AK133</f>
        <v>0.14795611738700837</v>
      </c>
      <c r="E133" s="14">
        <f aca="true" t="shared" si="39" ref="E133:K133">SUM(E120:E132)</f>
        <v>576</v>
      </c>
      <c r="F133" s="14">
        <f>SUM(F120:F132)</f>
        <v>581</v>
      </c>
      <c r="G133" s="14">
        <f t="shared" si="39"/>
        <v>0</v>
      </c>
      <c r="H133" s="14">
        <f t="shared" si="39"/>
        <v>0</v>
      </c>
      <c r="I133" s="14">
        <f>SUM(I120:I132)</f>
        <v>0</v>
      </c>
      <c r="J133" s="14">
        <f t="shared" si="39"/>
        <v>0</v>
      </c>
      <c r="K133" s="14">
        <f t="shared" si="39"/>
        <v>6</v>
      </c>
      <c r="L133" s="14">
        <f aca="true" t="shared" si="40" ref="L133:V133">SUM(L120:L132)</f>
        <v>3</v>
      </c>
      <c r="M133" s="14">
        <f t="shared" si="40"/>
        <v>0</v>
      </c>
      <c r="N133" s="14">
        <f t="shared" si="40"/>
        <v>0</v>
      </c>
      <c r="O133" s="14">
        <f t="shared" si="40"/>
        <v>0</v>
      </c>
      <c r="P133" s="14">
        <f t="shared" si="40"/>
        <v>0</v>
      </c>
      <c r="Q133" s="14">
        <f t="shared" si="40"/>
        <v>0</v>
      </c>
      <c r="R133" s="14">
        <f t="shared" si="40"/>
        <v>0</v>
      </c>
      <c r="S133" s="14">
        <f t="shared" si="40"/>
        <v>0</v>
      </c>
      <c r="T133" s="14">
        <f t="shared" si="40"/>
        <v>0</v>
      </c>
      <c r="U133" s="14">
        <f t="shared" si="40"/>
        <v>0</v>
      </c>
      <c r="V133" s="14">
        <f t="shared" si="40"/>
        <v>0</v>
      </c>
      <c r="W133" s="14">
        <f t="shared" si="24"/>
        <v>9</v>
      </c>
      <c r="X133" s="14">
        <f aca="true" t="shared" si="41" ref="X133:AI133">SUM(X120:X132)</f>
        <v>1</v>
      </c>
      <c r="Y133" s="14">
        <f t="shared" si="41"/>
        <v>3</v>
      </c>
      <c r="Z133" s="14">
        <f t="shared" si="41"/>
        <v>0</v>
      </c>
      <c r="AA133" s="14">
        <f t="shared" si="41"/>
        <v>0</v>
      </c>
      <c r="AB133" s="14">
        <f t="shared" si="41"/>
        <v>0</v>
      </c>
      <c r="AC133" s="14">
        <f t="shared" si="41"/>
        <v>0</v>
      </c>
      <c r="AD133" s="14">
        <f t="shared" si="41"/>
        <v>0</v>
      </c>
      <c r="AE133" s="14">
        <f t="shared" si="41"/>
        <v>0</v>
      </c>
      <c r="AF133" s="14">
        <f t="shared" si="41"/>
        <v>0</v>
      </c>
      <c r="AG133" s="14">
        <f t="shared" si="41"/>
        <v>0</v>
      </c>
      <c r="AH133" s="14">
        <f t="shared" si="41"/>
        <v>0</v>
      </c>
      <c r="AI133" s="14">
        <f t="shared" si="41"/>
        <v>0</v>
      </c>
      <c r="AJ133" s="14">
        <f t="shared" si="21"/>
        <v>4</v>
      </c>
      <c r="AK133" s="14">
        <f>+AL133+AM133</f>
        <v>3926.84</v>
      </c>
      <c r="AL133" s="14">
        <f>29042*0.1</f>
        <v>2904.2000000000003</v>
      </c>
      <c r="AM133" s="14">
        <f>12783*0.08</f>
        <v>1022.64</v>
      </c>
    </row>
    <row r="134" spans="1:36" ht="15" thickBot="1">
      <c r="A134" s="110" t="s">
        <v>191</v>
      </c>
      <c r="B134" s="103" t="s">
        <v>187</v>
      </c>
      <c r="C134" s="63"/>
      <c r="D134" s="63"/>
      <c r="E134" s="17">
        <v>207</v>
      </c>
      <c r="F134" s="49">
        <f>+E134+(K134+L134+M134)-(X134+Y134+Z134)</f>
        <v>207</v>
      </c>
      <c r="G134" s="17"/>
      <c r="H134" s="61"/>
      <c r="I134" s="50"/>
      <c r="J134" s="51"/>
      <c r="K134" s="121"/>
      <c r="L134" s="121"/>
      <c r="M134" s="121"/>
      <c r="N134" s="121"/>
      <c r="O134" s="121"/>
      <c r="P134" s="121"/>
      <c r="Q134" s="121"/>
      <c r="R134" s="129"/>
      <c r="S134" s="129"/>
      <c r="T134" s="127"/>
      <c r="U134" s="129"/>
      <c r="V134" s="129"/>
      <c r="W134" s="17">
        <f t="shared" si="24"/>
        <v>0</v>
      </c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9"/>
      <c r="AH134" s="129"/>
      <c r="AI134" s="129"/>
      <c r="AJ134" s="17">
        <f t="shared" si="21"/>
        <v>0</v>
      </c>
    </row>
    <row r="135" spans="1:36" ht="15" thickBot="1">
      <c r="A135" s="110" t="s">
        <v>191</v>
      </c>
      <c r="B135" s="103" t="s">
        <v>188</v>
      </c>
      <c r="C135" s="63"/>
      <c r="D135" s="63"/>
      <c r="E135" s="51">
        <v>5</v>
      </c>
      <c r="F135" s="49">
        <f>+E135+(K135+L135+M135)-(X135+Y135+Z135)</f>
        <v>5</v>
      </c>
      <c r="G135" s="17"/>
      <c r="H135" s="61"/>
      <c r="I135" s="50"/>
      <c r="J135" s="51"/>
      <c r="K135" s="121"/>
      <c r="L135" s="121"/>
      <c r="M135" s="121"/>
      <c r="N135" s="121"/>
      <c r="O135" s="121"/>
      <c r="P135" s="121"/>
      <c r="Q135" s="121"/>
      <c r="R135" s="121"/>
      <c r="S135" s="121"/>
      <c r="T135" s="132"/>
      <c r="U135" s="121"/>
      <c r="V135" s="121"/>
      <c r="W135" s="17">
        <f t="shared" si="24"/>
        <v>0</v>
      </c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7">
        <f t="shared" si="21"/>
        <v>0</v>
      </c>
    </row>
    <row r="136" spans="1:36" ht="15" thickBot="1">
      <c r="A136" s="110" t="s">
        <v>191</v>
      </c>
      <c r="B136" s="103" t="s">
        <v>189</v>
      </c>
      <c r="C136" s="63"/>
      <c r="D136" s="63"/>
      <c r="E136" s="51"/>
      <c r="F136" s="49">
        <f>+E136+(K136+L136+M136)-(X136+Y136+Z136)</f>
        <v>0</v>
      </c>
      <c r="G136" s="17"/>
      <c r="H136" s="61"/>
      <c r="I136" s="50"/>
      <c r="J136" s="51"/>
      <c r="K136" s="121"/>
      <c r="L136" s="121"/>
      <c r="M136" s="121"/>
      <c r="N136" s="121"/>
      <c r="O136" s="121"/>
      <c r="P136" s="121"/>
      <c r="Q136" s="121"/>
      <c r="R136" s="121"/>
      <c r="S136" s="121"/>
      <c r="T136" s="132"/>
      <c r="U136" s="121"/>
      <c r="V136" s="121"/>
      <c r="W136" s="17">
        <f t="shared" si="24"/>
        <v>0</v>
      </c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7">
        <f t="shared" si="21"/>
        <v>0</v>
      </c>
    </row>
    <row r="137" spans="1:36" ht="15" thickBot="1">
      <c r="A137" s="110" t="s">
        <v>191</v>
      </c>
      <c r="B137" s="103" t="s">
        <v>190</v>
      </c>
      <c r="C137" s="63"/>
      <c r="D137" s="63"/>
      <c r="E137" s="51">
        <v>1</v>
      </c>
      <c r="F137" s="49">
        <f>+E137+(K137+L137+M137)-(X137+Y137+Z137)</f>
        <v>1</v>
      </c>
      <c r="G137" s="17"/>
      <c r="H137" s="61"/>
      <c r="I137" s="50"/>
      <c r="J137" s="51"/>
      <c r="K137" s="121"/>
      <c r="L137" s="121"/>
      <c r="M137" s="121"/>
      <c r="N137" s="121"/>
      <c r="O137" s="121"/>
      <c r="P137" s="121"/>
      <c r="Q137" s="121"/>
      <c r="R137" s="121"/>
      <c r="S137" s="121"/>
      <c r="T137" s="132"/>
      <c r="U137" s="121"/>
      <c r="V137" s="121"/>
      <c r="W137" s="17">
        <f t="shared" si="24"/>
        <v>0</v>
      </c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7">
        <f t="shared" si="21"/>
        <v>0</v>
      </c>
    </row>
    <row r="138" spans="1:39" ht="15" thickBot="1">
      <c r="A138" s="196" t="s">
        <v>209</v>
      </c>
      <c r="B138" s="197"/>
      <c r="C138" s="45">
        <f>+D138/Metas!Q34</f>
        <v>0.6952632011876271</v>
      </c>
      <c r="D138" s="19">
        <f>+F138/AK138</f>
        <v>0.15295790426127795</v>
      </c>
      <c r="E138" s="14">
        <f aca="true" t="shared" si="42" ref="E138:K138">SUM(E134:E137)</f>
        <v>213</v>
      </c>
      <c r="F138" s="14">
        <f>SUM(F134:F137)</f>
        <v>213</v>
      </c>
      <c r="G138" s="14">
        <f t="shared" si="42"/>
        <v>0</v>
      </c>
      <c r="H138" s="14">
        <f t="shared" si="42"/>
        <v>0</v>
      </c>
      <c r="I138" s="14">
        <f>SUM(I134:I137)</f>
        <v>0</v>
      </c>
      <c r="J138" s="14">
        <f t="shared" si="42"/>
        <v>0</v>
      </c>
      <c r="K138" s="14">
        <f t="shared" si="42"/>
        <v>0</v>
      </c>
      <c r="L138" s="14">
        <f aca="true" t="shared" si="43" ref="L138:V138">SUM(L134:L137)</f>
        <v>0</v>
      </c>
      <c r="M138" s="14">
        <f t="shared" si="43"/>
        <v>0</v>
      </c>
      <c r="N138" s="14">
        <f t="shared" si="43"/>
        <v>0</v>
      </c>
      <c r="O138" s="14">
        <f t="shared" si="43"/>
        <v>0</v>
      </c>
      <c r="P138" s="14">
        <f t="shared" si="43"/>
        <v>0</v>
      </c>
      <c r="Q138" s="14">
        <f t="shared" si="43"/>
        <v>0</v>
      </c>
      <c r="R138" s="14">
        <f t="shared" si="43"/>
        <v>0</v>
      </c>
      <c r="S138" s="14">
        <f t="shared" si="43"/>
        <v>0</v>
      </c>
      <c r="T138" s="14">
        <f t="shared" si="43"/>
        <v>0</v>
      </c>
      <c r="U138" s="14">
        <f t="shared" si="43"/>
        <v>0</v>
      </c>
      <c r="V138" s="14">
        <f t="shared" si="43"/>
        <v>0</v>
      </c>
      <c r="W138" s="14">
        <f t="shared" si="24"/>
        <v>0</v>
      </c>
      <c r="X138" s="14">
        <f aca="true" t="shared" si="44" ref="X138:AI138">SUM(X134:X137)</f>
        <v>0</v>
      </c>
      <c r="Y138" s="14">
        <f t="shared" si="44"/>
        <v>0</v>
      </c>
      <c r="Z138" s="14">
        <f t="shared" si="44"/>
        <v>0</v>
      </c>
      <c r="AA138" s="14">
        <f t="shared" si="44"/>
        <v>0</v>
      </c>
      <c r="AB138" s="14">
        <f t="shared" si="44"/>
        <v>0</v>
      </c>
      <c r="AC138" s="14">
        <f t="shared" si="44"/>
        <v>0</v>
      </c>
      <c r="AD138" s="14">
        <f t="shared" si="44"/>
        <v>0</v>
      </c>
      <c r="AE138" s="14">
        <f t="shared" si="44"/>
        <v>0</v>
      </c>
      <c r="AF138" s="14">
        <f t="shared" si="44"/>
        <v>0</v>
      </c>
      <c r="AG138" s="14">
        <f t="shared" si="44"/>
        <v>0</v>
      </c>
      <c r="AH138" s="14">
        <f t="shared" si="44"/>
        <v>0</v>
      </c>
      <c r="AI138" s="14">
        <f t="shared" si="44"/>
        <v>0</v>
      </c>
      <c r="AJ138" s="14">
        <f t="shared" si="21"/>
        <v>0</v>
      </c>
      <c r="AK138" s="14">
        <f>+AL138+AM138</f>
        <v>1392.54</v>
      </c>
      <c r="AL138" s="14">
        <f>10323*0.1</f>
        <v>1032.3</v>
      </c>
      <c r="AM138" s="14">
        <f>4503*0.08</f>
        <v>360.24</v>
      </c>
    </row>
    <row r="139" spans="1:36" ht="15" thickBot="1">
      <c r="A139" s="110" t="s">
        <v>199</v>
      </c>
      <c r="B139" s="103" t="s">
        <v>192</v>
      </c>
      <c r="C139" s="63"/>
      <c r="D139" s="63"/>
      <c r="E139" s="51">
        <v>166</v>
      </c>
      <c r="F139" s="49">
        <f aca="true" t="shared" si="45" ref="F139:F145">+E139+(K139+L139+M139)-(X139+Y139+Z139)</f>
        <v>166</v>
      </c>
      <c r="G139" s="17"/>
      <c r="H139" s="61"/>
      <c r="I139" s="50"/>
      <c r="J139" s="5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7">
        <f t="shared" si="24"/>
        <v>0</v>
      </c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7">
        <f t="shared" si="21"/>
        <v>0</v>
      </c>
    </row>
    <row r="140" spans="1:36" ht="15" thickBot="1">
      <c r="A140" s="110" t="s">
        <v>199</v>
      </c>
      <c r="B140" s="103" t="s">
        <v>193</v>
      </c>
      <c r="C140" s="63"/>
      <c r="D140" s="63"/>
      <c r="E140" s="51"/>
      <c r="F140" s="49">
        <f t="shared" si="45"/>
        <v>0</v>
      </c>
      <c r="G140" s="17"/>
      <c r="H140" s="61"/>
      <c r="I140" s="50"/>
      <c r="J140" s="5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7">
        <f t="shared" si="24"/>
        <v>0</v>
      </c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7">
        <f aca="true" t="shared" si="46" ref="AJ140:AJ146">SUM(X140:AI140)</f>
        <v>0</v>
      </c>
    </row>
    <row r="141" spans="1:36" ht="15" thickBot="1">
      <c r="A141" s="110" t="s">
        <v>199</v>
      </c>
      <c r="B141" s="103" t="s">
        <v>194</v>
      </c>
      <c r="C141" s="63"/>
      <c r="D141" s="63"/>
      <c r="E141" s="51"/>
      <c r="F141" s="49">
        <f t="shared" si="45"/>
        <v>0</v>
      </c>
      <c r="G141" s="17"/>
      <c r="H141" s="61"/>
      <c r="I141" s="50"/>
      <c r="J141" s="5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7">
        <f t="shared" si="24"/>
        <v>0</v>
      </c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7">
        <f t="shared" si="46"/>
        <v>0</v>
      </c>
    </row>
    <row r="142" spans="1:36" ht="15" thickBot="1">
      <c r="A142" s="110" t="s">
        <v>199</v>
      </c>
      <c r="B142" s="103" t="s">
        <v>195</v>
      </c>
      <c r="C142" s="63"/>
      <c r="D142" s="63"/>
      <c r="E142" s="51"/>
      <c r="F142" s="49">
        <f t="shared" si="45"/>
        <v>0</v>
      </c>
      <c r="G142" s="17"/>
      <c r="H142" s="61"/>
      <c r="I142" s="50"/>
      <c r="J142" s="5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7">
        <f>SUM(K142:V142)</f>
        <v>0</v>
      </c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7">
        <f t="shared" si="46"/>
        <v>0</v>
      </c>
    </row>
    <row r="143" spans="1:36" ht="15" thickBot="1">
      <c r="A143" s="110" t="s">
        <v>199</v>
      </c>
      <c r="B143" s="103" t="s">
        <v>196</v>
      </c>
      <c r="C143" s="63"/>
      <c r="D143" s="63"/>
      <c r="E143" s="51"/>
      <c r="F143" s="49">
        <f t="shared" si="45"/>
        <v>0</v>
      </c>
      <c r="G143" s="17"/>
      <c r="H143" s="61"/>
      <c r="I143" s="50"/>
      <c r="J143" s="5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7">
        <f>SUM(K143:V143)</f>
        <v>0</v>
      </c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7">
        <f t="shared" si="46"/>
        <v>0</v>
      </c>
    </row>
    <row r="144" spans="1:36" ht="15" thickBot="1">
      <c r="A144" s="110" t="s">
        <v>199</v>
      </c>
      <c r="B144" s="103" t="s">
        <v>197</v>
      </c>
      <c r="C144" s="63"/>
      <c r="D144" s="63"/>
      <c r="E144" s="51"/>
      <c r="F144" s="49">
        <f t="shared" si="45"/>
        <v>0</v>
      </c>
      <c r="G144" s="17"/>
      <c r="H144" s="61"/>
      <c r="I144" s="50"/>
      <c r="J144" s="5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7">
        <f>SUM(K144:V144)</f>
        <v>0</v>
      </c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7">
        <f>SUM(X144:AI144)</f>
        <v>0</v>
      </c>
    </row>
    <row r="145" spans="1:36" ht="15" thickBot="1">
      <c r="A145" s="110" t="s">
        <v>199</v>
      </c>
      <c r="B145" s="103" t="s">
        <v>198</v>
      </c>
      <c r="C145" s="63"/>
      <c r="D145" s="63"/>
      <c r="E145" s="51"/>
      <c r="F145" s="49">
        <f t="shared" si="45"/>
        <v>0</v>
      </c>
      <c r="G145" s="17"/>
      <c r="H145" s="61"/>
      <c r="I145" s="50"/>
      <c r="J145" s="5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7">
        <f>SUM(K145:V145)</f>
        <v>0</v>
      </c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7">
        <f>SUM(X145:AI145)</f>
        <v>0</v>
      </c>
    </row>
    <row r="146" spans="1:39" ht="15" thickBot="1">
      <c r="A146" s="196" t="s">
        <v>210</v>
      </c>
      <c r="B146" s="197"/>
      <c r="C146" s="45">
        <f>+D146/Metas!Q35</f>
        <v>0.8661170823332985</v>
      </c>
      <c r="D146" s="19">
        <f>+F146/AK146</f>
        <v>0.30314097881665447</v>
      </c>
      <c r="E146" s="14">
        <f aca="true" t="shared" si="47" ref="E146:K146">SUM(E139:E145)</f>
        <v>166</v>
      </c>
      <c r="F146" s="14">
        <f>SUM(F139:F145)</f>
        <v>166</v>
      </c>
      <c r="G146" s="14">
        <f t="shared" si="47"/>
        <v>0</v>
      </c>
      <c r="H146" s="14">
        <f t="shared" si="47"/>
        <v>0</v>
      </c>
      <c r="I146" s="14">
        <f>SUM(I139:I145)</f>
        <v>0</v>
      </c>
      <c r="J146" s="14">
        <f t="shared" si="47"/>
        <v>0</v>
      </c>
      <c r="K146" s="14">
        <f t="shared" si="47"/>
        <v>0</v>
      </c>
      <c r="L146" s="14">
        <f aca="true" t="shared" si="48" ref="L146:V146">SUM(L139:L145)</f>
        <v>0</v>
      </c>
      <c r="M146" s="14">
        <f t="shared" si="48"/>
        <v>0</v>
      </c>
      <c r="N146" s="14">
        <f t="shared" si="48"/>
        <v>0</v>
      </c>
      <c r="O146" s="14">
        <f t="shared" si="48"/>
        <v>0</v>
      </c>
      <c r="P146" s="14">
        <f t="shared" si="48"/>
        <v>0</v>
      </c>
      <c r="Q146" s="14">
        <f t="shared" si="48"/>
        <v>0</v>
      </c>
      <c r="R146" s="14">
        <f t="shared" si="48"/>
        <v>0</v>
      </c>
      <c r="S146" s="14">
        <f t="shared" si="48"/>
        <v>0</v>
      </c>
      <c r="T146" s="14">
        <f t="shared" si="48"/>
        <v>0</v>
      </c>
      <c r="U146" s="14">
        <f t="shared" si="48"/>
        <v>0</v>
      </c>
      <c r="V146" s="14">
        <f t="shared" si="48"/>
        <v>0</v>
      </c>
      <c r="W146" s="14">
        <f>SUM(K146:V146)</f>
        <v>0</v>
      </c>
      <c r="X146" s="14">
        <f aca="true" t="shared" si="49" ref="X146:AI146">SUM(X139:X145)</f>
        <v>0</v>
      </c>
      <c r="Y146" s="14">
        <f t="shared" si="49"/>
        <v>0</v>
      </c>
      <c r="Z146" s="14">
        <f t="shared" si="49"/>
        <v>0</v>
      </c>
      <c r="AA146" s="14">
        <f t="shared" si="49"/>
        <v>0</v>
      </c>
      <c r="AB146" s="14">
        <f t="shared" si="49"/>
        <v>0</v>
      </c>
      <c r="AC146" s="14">
        <f t="shared" si="49"/>
        <v>0</v>
      </c>
      <c r="AD146" s="14">
        <f t="shared" si="49"/>
        <v>0</v>
      </c>
      <c r="AE146" s="14">
        <f t="shared" si="49"/>
        <v>0</v>
      </c>
      <c r="AF146" s="14">
        <f t="shared" si="49"/>
        <v>0</v>
      </c>
      <c r="AG146" s="14">
        <f t="shared" si="49"/>
        <v>0</v>
      </c>
      <c r="AH146" s="14">
        <f t="shared" si="49"/>
        <v>0</v>
      </c>
      <c r="AI146" s="14">
        <f t="shared" si="49"/>
        <v>0</v>
      </c>
      <c r="AJ146" s="14">
        <f t="shared" si="46"/>
        <v>0</v>
      </c>
      <c r="AK146" s="14">
        <f>+AL146+AM146</f>
        <v>547.6</v>
      </c>
      <c r="AL146" s="14">
        <f>3892*0.1</f>
        <v>389.20000000000005</v>
      </c>
      <c r="AM146" s="14">
        <f>1980*0.08</f>
        <v>158.4</v>
      </c>
    </row>
    <row r="147" spans="2:39" ht="14.25">
      <c r="B147" s="148" t="s">
        <v>215</v>
      </c>
      <c r="C147" s="72"/>
      <c r="D147" s="81"/>
      <c r="E147" s="76">
        <f aca="true" t="shared" si="50" ref="E147:AM147">+E25+E36+E47+E61+E72+E78+E89+E106+E119+E133+E138+E146</f>
        <v>9915</v>
      </c>
      <c r="F147" s="76">
        <f>+F25+F36+F47+F61+F72+F78+F89+F106+F119+F133+F138+F146</f>
        <v>10045</v>
      </c>
      <c r="G147" s="76">
        <f t="shared" si="50"/>
        <v>0</v>
      </c>
      <c r="H147" s="76">
        <f t="shared" si="50"/>
        <v>0</v>
      </c>
      <c r="I147" s="76">
        <f>+I25+I36+I47+I61+I72+I78+I89+I106+I119+I133+I138+I146</f>
        <v>0</v>
      </c>
      <c r="J147" s="76">
        <f t="shared" si="50"/>
        <v>0</v>
      </c>
      <c r="K147" s="76">
        <f t="shared" si="50"/>
        <v>128</v>
      </c>
      <c r="L147" s="76">
        <f t="shared" si="50"/>
        <v>98</v>
      </c>
      <c r="M147" s="76">
        <f t="shared" si="50"/>
        <v>0</v>
      </c>
      <c r="N147" s="76">
        <f t="shared" si="50"/>
        <v>0</v>
      </c>
      <c r="O147" s="76">
        <f t="shared" si="50"/>
        <v>0</v>
      </c>
      <c r="P147" s="76">
        <f t="shared" si="50"/>
        <v>0</v>
      </c>
      <c r="Q147" s="76">
        <f t="shared" si="50"/>
        <v>0</v>
      </c>
      <c r="R147" s="76">
        <f t="shared" si="50"/>
        <v>0</v>
      </c>
      <c r="S147" s="76">
        <f t="shared" si="50"/>
        <v>0</v>
      </c>
      <c r="T147" s="76">
        <f t="shared" si="50"/>
        <v>0</v>
      </c>
      <c r="U147" s="76">
        <f t="shared" si="50"/>
        <v>0</v>
      </c>
      <c r="V147" s="76">
        <f t="shared" si="50"/>
        <v>0</v>
      </c>
      <c r="W147" s="76">
        <f t="shared" si="50"/>
        <v>226</v>
      </c>
      <c r="X147" s="76">
        <f t="shared" si="50"/>
        <v>42</v>
      </c>
      <c r="Y147" s="76">
        <f t="shared" si="50"/>
        <v>54</v>
      </c>
      <c r="Z147" s="76">
        <f t="shared" si="50"/>
        <v>0</v>
      </c>
      <c r="AA147" s="76">
        <f t="shared" si="50"/>
        <v>0</v>
      </c>
      <c r="AB147" s="76">
        <f t="shared" si="50"/>
        <v>0</v>
      </c>
      <c r="AC147" s="76">
        <f t="shared" si="50"/>
        <v>0</v>
      </c>
      <c r="AD147" s="76">
        <f t="shared" si="50"/>
        <v>0</v>
      </c>
      <c r="AE147" s="76">
        <f t="shared" si="50"/>
        <v>0</v>
      </c>
      <c r="AF147" s="76">
        <f t="shared" si="50"/>
        <v>0</v>
      </c>
      <c r="AG147" s="76">
        <f t="shared" si="50"/>
        <v>0</v>
      </c>
      <c r="AH147" s="76">
        <f t="shared" si="50"/>
        <v>0</v>
      </c>
      <c r="AI147" s="76">
        <f t="shared" si="50"/>
        <v>0</v>
      </c>
      <c r="AJ147" s="76">
        <f t="shared" si="50"/>
        <v>96</v>
      </c>
      <c r="AK147" s="76">
        <f t="shared" si="50"/>
        <v>73907.3</v>
      </c>
      <c r="AL147" s="76">
        <f t="shared" si="50"/>
        <v>54916.1</v>
      </c>
      <c r="AM147" s="76">
        <f t="shared" si="50"/>
        <v>18991.200000000004</v>
      </c>
    </row>
    <row r="148" spans="3:4" ht="14.25">
      <c r="C148" s="74"/>
      <c r="D148" s="98"/>
    </row>
  </sheetData>
  <sheetProtection/>
  <mergeCells count="25">
    <mergeCell ref="A133:B133"/>
    <mergeCell ref="A138:B138"/>
    <mergeCell ref="A146:B146"/>
    <mergeCell ref="A61:B61"/>
    <mergeCell ref="A72:B72"/>
    <mergeCell ref="A78:B78"/>
    <mergeCell ref="A89:B89"/>
    <mergeCell ref="A106:B106"/>
    <mergeCell ref="A119:B119"/>
    <mergeCell ref="E1:AM1"/>
    <mergeCell ref="A25:B25"/>
    <mergeCell ref="A36:B36"/>
    <mergeCell ref="A47:B47"/>
    <mergeCell ref="A1:A10"/>
    <mergeCell ref="B1:B10"/>
    <mergeCell ref="C1:C11"/>
    <mergeCell ref="D1:D10"/>
    <mergeCell ref="E2:AJ9"/>
    <mergeCell ref="E10:J10"/>
    <mergeCell ref="AK2:AM9"/>
    <mergeCell ref="K10:W10"/>
    <mergeCell ref="X10:AJ10"/>
    <mergeCell ref="AK10:AK11"/>
    <mergeCell ref="AL10:AL11"/>
    <mergeCell ref="AM10:AM1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148"/>
  <sheetViews>
    <sheetView zoomScale="80" zoomScaleNormal="8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11.421875" defaultRowHeight="15"/>
  <cols>
    <col min="1" max="1" width="20.28125" style="110" bestFit="1" customWidth="1"/>
    <col min="2" max="2" width="36.7109375" style="110" bestFit="1" customWidth="1"/>
    <col min="3" max="3" width="14.421875" style="62" customWidth="1"/>
    <col min="4" max="4" width="10.140625" style="62" bestFit="1" customWidth="1"/>
    <col min="5" max="10" width="11.140625" style="76" bestFit="1" customWidth="1"/>
    <col min="11" max="14" width="9.7109375" style="76" bestFit="1" customWidth="1"/>
    <col min="15" max="17" width="7.57421875" style="76" bestFit="1" customWidth="1"/>
    <col min="18" max="18" width="9.7109375" style="76" bestFit="1" customWidth="1"/>
    <col min="19" max="19" width="7.140625" style="76" bestFit="1" customWidth="1"/>
    <col min="20" max="20" width="8.8515625" style="76" customWidth="1"/>
    <col min="21" max="21" width="9.00390625" style="76" customWidth="1"/>
    <col min="22" max="22" width="7.140625" style="76" bestFit="1" customWidth="1"/>
    <col min="23" max="23" width="9.7109375" style="76" bestFit="1" customWidth="1"/>
    <col min="24" max="24" width="7.57421875" style="76" bestFit="1" customWidth="1"/>
    <col min="25" max="25" width="9.421875" style="76" customWidth="1"/>
    <col min="26" max="26" width="7.57421875" style="76" bestFit="1" customWidth="1"/>
    <col min="27" max="27" width="6.7109375" style="76" customWidth="1"/>
    <col min="28" max="30" width="7.57421875" style="76" bestFit="1" customWidth="1"/>
    <col min="31" max="31" width="8.8515625" style="76" customWidth="1"/>
    <col min="32" max="32" width="7.140625" style="76" bestFit="1" customWidth="1"/>
    <col min="33" max="33" width="8.421875" style="76" customWidth="1"/>
    <col min="34" max="34" width="8.140625" style="76" customWidth="1"/>
    <col min="35" max="35" width="7.140625" style="76" bestFit="1" customWidth="1"/>
    <col min="36" max="36" width="9.7109375" style="76" bestFit="1" customWidth="1"/>
    <col min="37" max="37" width="24.140625" style="76" bestFit="1" customWidth="1"/>
    <col min="38" max="16384" width="11.421875" style="62" customWidth="1"/>
  </cols>
  <sheetData>
    <row r="1" spans="1:37" ht="73.5" customHeight="1" thickBot="1" thickTop="1">
      <c r="A1" s="204" t="s">
        <v>0</v>
      </c>
      <c r="B1" s="198" t="s">
        <v>1</v>
      </c>
      <c r="C1" s="198" t="s">
        <v>217</v>
      </c>
      <c r="D1" s="222" t="s">
        <v>213</v>
      </c>
      <c r="E1" s="278" t="s">
        <v>255</v>
      </c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</row>
    <row r="2" spans="1:37" ht="15" customHeight="1" thickTop="1">
      <c r="A2" s="205"/>
      <c r="B2" s="208"/>
      <c r="C2" s="199"/>
      <c r="D2" s="223"/>
      <c r="E2" s="259" t="s">
        <v>3</v>
      </c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1"/>
      <c r="AK2" s="243" t="s">
        <v>4</v>
      </c>
    </row>
    <row r="3" spans="1:37" ht="15" customHeight="1">
      <c r="A3" s="205"/>
      <c r="B3" s="208"/>
      <c r="C3" s="199"/>
      <c r="D3" s="223"/>
      <c r="E3" s="262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63"/>
      <c r="AK3" s="245"/>
    </row>
    <row r="4" spans="1:37" ht="15" customHeight="1">
      <c r="A4" s="205"/>
      <c r="B4" s="208"/>
      <c r="C4" s="199"/>
      <c r="D4" s="223"/>
      <c r="E4" s="262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63"/>
      <c r="AK4" s="245"/>
    </row>
    <row r="5" spans="1:37" ht="15" customHeight="1">
      <c r="A5" s="205"/>
      <c r="B5" s="208"/>
      <c r="C5" s="199"/>
      <c r="D5" s="223"/>
      <c r="E5" s="262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63"/>
      <c r="AK5" s="245"/>
    </row>
    <row r="6" spans="1:37" ht="15" customHeight="1">
      <c r="A6" s="205"/>
      <c r="B6" s="208"/>
      <c r="C6" s="199"/>
      <c r="D6" s="223"/>
      <c r="E6" s="262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63"/>
      <c r="AK6" s="245"/>
    </row>
    <row r="7" spans="1:37" ht="15" customHeight="1">
      <c r="A7" s="205"/>
      <c r="B7" s="208"/>
      <c r="C7" s="199"/>
      <c r="D7" s="223"/>
      <c r="E7" s="262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63"/>
      <c r="AK7" s="245"/>
    </row>
    <row r="8" spans="1:37" ht="15" customHeight="1">
      <c r="A8" s="205"/>
      <c r="B8" s="208"/>
      <c r="C8" s="199"/>
      <c r="D8" s="223"/>
      <c r="E8" s="262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63"/>
      <c r="AK8" s="245"/>
    </row>
    <row r="9" spans="1:37" ht="15.75" customHeight="1" thickBot="1">
      <c r="A9" s="205"/>
      <c r="B9" s="208"/>
      <c r="C9" s="199"/>
      <c r="D9" s="223"/>
      <c r="E9" s="264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6"/>
      <c r="AK9" s="247"/>
    </row>
    <row r="10" spans="1:37" ht="64.5" customHeight="1" thickBot="1" thickTop="1">
      <c r="A10" s="206"/>
      <c r="B10" s="200"/>
      <c r="C10" s="199"/>
      <c r="D10" s="224"/>
      <c r="E10" s="254" t="s">
        <v>256</v>
      </c>
      <c r="F10" s="255"/>
      <c r="G10" s="255"/>
      <c r="H10" s="255"/>
      <c r="I10" s="255"/>
      <c r="J10" s="269"/>
      <c r="K10" s="254" t="s">
        <v>257</v>
      </c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4" t="s">
        <v>258</v>
      </c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69"/>
      <c r="AK10" s="290" t="s">
        <v>275</v>
      </c>
    </row>
    <row r="11" spans="1:37" ht="29.25" customHeight="1" thickBot="1">
      <c r="A11" s="149"/>
      <c r="B11" s="149"/>
      <c r="C11" s="200"/>
      <c r="D11" s="140" t="s">
        <v>214</v>
      </c>
      <c r="E11" s="144" t="s">
        <v>292</v>
      </c>
      <c r="F11" s="145" t="s">
        <v>274</v>
      </c>
      <c r="G11" s="144" t="s">
        <v>22</v>
      </c>
      <c r="H11" s="145" t="s">
        <v>26</v>
      </c>
      <c r="I11" s="145" t="s">
        <v>28</v>
      </c>
      <c r="J11" s="145" t="s">
        <v>27</v>
      </c>
      <c r="K11" s="144" t="s">
        <v>9</v>
      </c>
      <c r="L11" s="144" t="s">
        <v>10</v>
      </c>
      <c r="M11" s="144" t="s">
        <v>11</v>
      </c>
      <c r="N11" s="144" t="s">
        <v>12</v>
      </c>
      <c r="O11" s="144" t="s">
        <v>13</v>
      </c>
      <c r="P11" s="144" t="s">
        <v>14</v>
      </c>
      <c r="Q11" s="144" t="s">
        <v>15</v>
      </c>
      <c r="R11" s="144" t="s">
        <v>16</v>
      </c>
      <c r="S11" s="144" t="s">
        <v>17</v>
      </c>
      <c r="T11" s="144" t="s">
        <v>18</v>
      </c>
      <c r="U11" s="144" t="s">
        <v>19</v>
      </c>
      <c r="V11" s="144" t="s">
        <v>20</v>
      </c>
      <c r="W11" s="144" t="s">
        <v>21</v>
      </c>
      <c r="X11" s="144" t="s">
        <v>9</v>
      </c>
      <c r="Y11" s="144" t="s">
        <v>10</v>
      </c>
      <c r="Z11" s="144" t="s">
        <v>11</v>
      </c>
      <c r="AA11" s="144" t="s">
        <v>12</v>
      </c>
      <c r="AB11" s="144" t="s">
        <v>13</v>
      </c>
      <c r="AC11" s="144" t="s">
        <v>14</v>
      </c>
      <c r="AD11" s="144" t="s">
        <v>15</v>
      </c>
      <c r="AE11" s="144" t="s">
        <v>16</v>
      </c>
      <c r="AF11" s="144" t="s">
        <v>17</v>
      </c>
      <c r="AG11" s="144" t="s">
        <v>18</v>
      </c>
      <c r="AH11" s="144" t="s">
        <v>19</v>
      </c>
      <c r="AI11" s="144" t="s">
        <v>20</v>
      </c>
      <c r="AJ11" s="145" t="s">
        <v>21</v>
      </c>
      <c r="AK11" s="273"/>
    </row>
    <row r="12" spans="1:36" ht="15" thickBot="1">
      <c r="A12" s="110" t="s">
        <v>78</v>
      </c>
      <c r="B12" s="103" t="s">
        <v>65</v>
      </c>
      <c r="C12" s="63"/>
      <c r="D12" s="63"/>
      <c r="E12" s="17">
        <v>1114</v>
      </c>
      <c r="F12" s="49">
        <f>+E12+(K12+L12+M12)-(X12+Y12+Z12)</f>
        <v>1177</v>
      </c>
      <c r="G12" s="17"/>
      <c r="H12" s="61"/>
      <c r="I12" s="50"/>
      <c r="J12" s="51"/>
      <c r="K12" s="126">
        <v>27</v>
      </c>
      <c r="L12" s="126">
        <v>41</v>
      </c>
      <c r="M12" s="126"/>
      <c r="N12" s="126"/>
      <c r="O12" s="126"/>
      <c r="P12" s="126"/>
      <c r="Q12" s="126"/>
      <c r="R12" s="126"/>
      <c r="S12" s="126"/>
      <c r="T12" s="127"/>
      <c r="U12" s="126"/>
      <c r="V12" s="52"/>
      <c r="W12" s="17">
        <f>SUM(K12:V12)</f>
        <v>68</v>
      </c>
      <c r="X12" s="126"/>
      <c r="Y12" s="126">
        <v>5</v>
      </c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7">
        <f>SUM(X12:AI12)</f>
        <v>5</v>
      </c>
    </row>
    <row r="13" spans="1:36" ht="15" thickBot="1">
      <c r="A13" s="110" t="s">
        <v>78</v>
      </c>
      <c r="B13" s="103" t="s">
        <v>66</v>
      </c>
      <c r="C13" s="63"/>
      <c r="D13" s="63"/>
      <c r="E13" s="17">
        <v>923</v>
      </c>
      <c r="F13" s="49">
        <f aca="true" t="shared" si="0" ref="F13:F24">+E13+(K13+L13+M13)-(X13+Y13+Z13)</f>
        <v>1004</v>
      </c>
      <c r="G13" s="17"/>
      <c r="H13" s="61"/>
      <c r="I13" s="50"/>
      <c r="J13" s="51"/>
      <c r="K13" s="126">
        <v>55</v>
      </c>
      <c r="L13" s="126">
        <v>44</v>
      </c>
      <c r="M13" s="126"/>
      <c r="N13" s="126"/>
      <c r="O13" s="126"/>
      <c r="P13" s="126"/>
      <c r="Q13" s="126"/>
      <c r="R13" s="126"/>
      <c r="S13" s="126"/>
      <c r="T13" s="127"/>
      <c r="U13" s="126"/>
      <c r="V13" s="52"/>
      <c r="W13" s="17">
        <f aca="true" t="shared" si="1" ref="W13:W75">SUM(K13:V13)</f>
        <v>99</v>
      </c>
      <c r="X13" s="126">
        <v>8</v>
      </c>
      <c r="Y13" s="126">
        <v>10</v>
      </c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7">
        <f aca="true" t="shared" si="2" ref="AJ13:AJ75">SUM(X13:AI13)</f>
        <v>18</v>
      </c>
    </row>
    <row r="14" spans="1:36" ht="15" thickBot="1">
      <c r="A14" s="110" t="s">
        <v>78</v>
      </c>
      <c r="B14" s="103" t="s">
        <v>67</v>
      </c>
      <c r="C14" s="63"/>
      <c r="D14" s="63"/>
      <c r="E14" s="17">
        <v>535</v>
      </c>
      <c r="F14" s="49">
        <f t="shared" si="0"/>
        <v>574</v>
      </c>
      <c r="G14" s="17"/>
      <c r="H14" s="61"/>
      <c r="I14" s="50"/>
      <c r="J14" s="51"/>
      <c r="K14" s="126">
        <v>25</v>
      </c>
      <c r="L14" s="126">
        <v>24</v>
      </c>
      <c r="M14" s="126"/>
      <c r="N14" s="126"/>
      <c r="O14" s="126"/>
      <c r="P14" s="126"/>
      <c r="Q14" s="126"/>
      <c r="R14" s="126"/>
      <c r="S14" s="126"/>
      <c r="T14" s="127"/>
      <c r="U14" s="126"/>
      <c r="V14" s="52"/>
      <c r="W14" s="17">
        <f t="shared" si="1"/>
        <v>49</v>
      </c>
      <c r="X14" s="126">
        <v>5</v>
      </c>
      <c r="Y14" s="126">
        <v>5</v>
      </c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7">
        <f t="shared" si="2"/>
        <v>10</v>
      </c>
    </row>
    <row r="15" spans="1:36" ht="15" thickBot="1">
      <c r="A15" s="110" t="s">
        <v>78</v>
      </c>
      <c r="B15" s="103" t="s">
        <v>68</v>
      </c>
      <c r="C15" s="63"/>
      <c r="D15" s="63"/>
      <c r="E15" s="17">
        <v>999</v>
      </c>
      <c r="F15" s="49">
        <f t="shared" si="0"/>
        <v>1055</v>
      </c>
      <c r="G15" s="17"/>
      <c r="H15" s="61"/>
      <c r="I15" s="50"/>
      <c r="J15" s="51"/>
      <c r="K15" s="126">
        <v>60</v>
      </c>
      <c r="L15" s="126">
        <v>15</v>
      </c>
      <c r="M15" s="126"/>
      <c r="N15" s="126"/>
      <c r="O15" s="126"/>
      <c r="P15" s="126"/>
      <c r="Q15" s="126"/>
      <c r="R15" s="126"/>
      <c r="S15" s="126"/>
      <c r="T15" s="127"/>
      <c r="U15" s="126"/>
      <c r="V15" s="52"/>
      <c r="W15" s="17">
        <f t="shared" si="1"/>
        <v>75</v>
      </c>
      <c r="X15" s="126">
        <v>7</v>
      </c>
      <c r="Y15" s="126">
        <v>12</v>
      </c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7">
        <f t="shared" si="2"/>
        <v>19</v>
      </c>
    </row>
    <row r="16" spans="1:36" ht="15" thickBot="1">
      <c r="A16" s="110" t="s">
        <v>78</v>
      </c>
      <c r="B16" s="103" t="s">
        <v>69</v>
      </c>
      <c r="C16" s="66"/>
      <c r="D16" s="63"/>
      <c r="E16" s="17">
        <v>610</v>
      </c>
      <c r="F16" s="49">
        <f t="shared" si="0"/>
        <v>650</v>
      </c>
      <c r="G16" s="17"/>
      <c r="H16" s="61"/>
      <c r="I16" s="50"/>
      <c r="J16" s="51"/>
      <c r="K16" s="126">
        <v>25</v>
      </c>
      <c r="L16" s="126">
        <v>16</v>
      </c>
      <c r="M16" s="126"/>
      <c r="N16" s="126"/>
      <c r="O16" s="126"/>
      <c r="P16" s="126"/>
      <c r="Q16" s="126"/>
      <c r="R16" s="126"/>
      <c r="S16" s="126"/>
      <c r="T16" s="127"/>
      <c r="U16" s="126"/>
      <c r="V16" s="52"/>
      <c r="W16" s="17">
        <f t="shared" si="1"/>
        <v>41</v>
      </c>
      <c r="X16" s="126"/>
      <c r="Y16" s="133">
        <v>1</v>
      </c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7">
        <f t="shared" si="2"/>
        <v>1</v>
      </c>
    </row>
    <row r="17" spans="1:36" ht="15" thickBot="1">
      <c r="A17" s="110" t="s">
        <v>78</v>
      </c>
      <c r="B17" s="103" t="s">
        <v>70</v>
      </c>
      <c r="C17" s="63"/>
      <c r="D17" s="63"/>
      <c r="E17" s="17">
        <v>581</v>
      </c>
      <c r="F17" s="49">
        <f t="shared" si="0"/>
        <v>599</v>
      </c>
      <c r="G17" s="17"/>
      <c r="H17" s="61"/>
      <c r="I17" s="50"/>
      <c r="J17" s="51"/>
      <c r="K17" s="126"/>
      <c r="L17" s="126">
        <v>33</v>
      </c>
      <c r="M17" s="126"/>
      <c r="N17" s="126"/>
      <c r="O17" s="126"/>
      <c r="P17" s="126"/>
      <c r="Q17" s="126"/>
      <c r="R17" s="126"/>
      <c r="S17" s="126"/>
      <c r="T17" s="127"/>
      <c r="U17" s="126"/>
      <c r="V17" s="52"/>
      <c r="W17" s="17">
        <f t="shared" si="1"/>
        <v>33</v>
      </c>
      <c r="X17" s="126">
        <v>15</v>
      </c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7">
        <f t="shared" si="2"/>
        <v>15</v>
      </c>
    </row>
    <row r="18" spans="1:36" ht="15" thickBot="1">
      <c r="A18" s="110" t="s">
        <v>78</v>
      </c>
      <c r="B18" s="103" t="s">
        <v>71</v>
      </c>
      <c r="C18" s="63"/>
      <c r="D18" s="63"/>
      <c r="E18" s="17">
        <v>166</v>
      </c>
      <c r="F18" s="49">
        <f t="shared" si="0"/>
        <v>177</v>
      </c>
      <c r="G18" s="17"/>
      <c r="H18" s="61"/>
      <c r="I18" s="50"/>
      <c r="J18" s="51"/>
      <c r="K18" s="126">
        <v>0</v>
      </c>
      <c r="L18" s="126">
        <v>11</v>
      </c>
      <c r="M18" s="126"/>
      <c r="N18" s="126"/>
      <c r="O18" s="126"/>
      <c r="P18" s="126"/>
      <c r="Q18" s="126"/>
      <c r="R18" s="126"/>
      <c r="S18" s="126"/>
      <c r="T18" s="127"/>
      <c r="U18" s="126"/>
      <c r="V18" s="52"/>
      <c r="W18" s="17">
        <f t="shared" si="1"/>
        <v>11</v>
      </c>
      <c r="X18" s="121"/>
      <c r="Y18" s="121"/>
      <c r="Z18" s="121"/>
      <c r="AA18" s="121"/>
      <c r="AB18" s="121"/>
      <c r="AC18" s="121"/>
      <c r="AD18" s="121"/>
      <c r="AE18" s="121"/>
      <c r="AF18" s="121"/>
      <c r="AG18" s="126"/>
      <c r="AH18" s="126"/>
      <c r="AI18" s="126"/>
      <c r="AJ18" s="17">
        <f t="shared" si="2"/>
        <v>0</v>
      </c>
    </row>
    <row r="19" spans="1:36" ht="15" thickBot="1">
      <c r="A19" s="110" t="s">
        <v>78</v>
      </c>
      <c r="B19" s="103" t="s">
        <v>72</v>
      </c>
      <c r="C19" s="63"/>
      <c r="D19" s="63"/>
      <c r="E19" s="17">
        <v>33</v>
      </c>
      <c r="F19" s="49">
        <f t="shared" si="0"/>
        <v>34</v>
      </c>
      <c r="G19" s="17"/>
      <c r="H19" s="61"/>
      <c r="I19" s="50"/>
      <c r="J19" s="51"/>
      <c r="K19" s="126">
        <v>1</v>
      </c>
      <c r="L19" s="126"/>
      <c r="M19" s="126"/>
      <c r="N19" s="126"/>
      <c r="O19" s="126"/>
      <c r="P19" s="126"/>
      <c r="Q19" s="126"/>
      <c r="R19" s="126"/>
      <c r="S19" s="126"/>
      <c r="T19" s="127"/>
      <c r="U19" s="126"/>
      <c r="V19" s="52"/>
      <c r="W19" s="17">
        <f t="shared" si="1"/>
        <v>1</v>
      </c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7">
        <f t="shared" si="2"/>
        <v>0</v>
      </c>
    </row>
    <row r="20" spans="1:36" ht="15" thickBot="1">
      <c r="A20" s="110" t="s">
        <v>78</v>
      </c>
      <c r="B20" s="103" t="s">
        <v>73</v>
      </c>
      <c r="C20" s="63"/>
      <c r="D20" s="63"/>
      <c r="E20" s="17">
        <v>31</v>
      </c>
      <c r="F20" s="49">
        <f t="shared" si="0"/>
        <v>31</v>
      </c>
      <c r="G20" s="17"/>
      <c r="H20" s="61"/>
      <c r="I20" s="50"/>
      <c r="J20" s="51"/>
      <c r="K20" s="126"/>
      <c r="L20" s="126"/>
      <c r="M20" s="126"/>
      <c r="N20" s="126"/>
      <c r="O20" s="126"/>
      <c r="P20" s="126"/>
      <c r="Q20" s="126"/>
      <c r="R20" s="126"/>
      <c r="S20" s="126"/>
      <c r="T20" s="127"/>
      <c r="U20" s="126"/>
      <c r="V20" s="52"/>
      <c r="W20" s="17">
        <f t="shared" si="1"/>
        <v>0</v>
      </c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7">
        <f t="shared" si="2"/>
        <v>0</v>
      </c>
    </row>
    <row r="21" spans="1:36" ht="15" thickBot="1">
      <c r="A21" s="110" t="s">
        <v>78</v>
      </c>
      <c r="B21" s="103" t="s">
        <v>74</v>
      </c>
      <c r="C21" s="67"/>
      <c r="D21" s="63"/>
      <c r="E21" s="17">
        <v>28</v>
      </c>
      <c r="F21" s="49">
        <f t="shared" si="0"/>
        <v>28</v>
      </c>
      <c r="G21" s="17"/>
      <c r="H21" s="61"/>
      <c r="I21" s="50"/>
      <c r="J21" s="51"/>
      <c r="K21" s="126"/>
      <c r="L21" s="126"/>
      <c r="M21" s="126"/>
      <c r="N21" s="126"/>
      <c r="O21" s="126"/>
      <c r="P21" s="126"/>
      <c r="Q21" s="126"/>
      <c r="R21" s="126"/>
      <c r="S21" s="126"/>
      <c r="T21" s="127"/>
      <c r="U21" s="126"/>
      <c r="V21" s="52"/>
      <c r="W21" s="17">
        <f t="shared" si="1"/>
        <v>0</v>
      </c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7">
        <f t="shared" si="2"/>
        <v>0</v>
      </c>
    </row>
    <row r="22" spans="1:36" ht="15" thickBot="1">
      <c r="A22" s="110" t="s">
        <v>78</v>
      </c>
      <c r="B22" s="103" t="s">
        <v>75</v>
      </c>
      <c r="C22" s="63"/>
      <c r="D22" s="63"/>
      <c r="E22" s="17">
        <v>144</v>
      </c>
      <c r="F22" s="49">
        <f t="shared" si="0"/>
        <v>155</v>
      </c>
      <c r="G22" s="17"/>
      <c r="H22" s="61"/>
      <c r="I22" s="50"/>
      <c r="J22" s="51"/>
      <c r="K22" s="126">
        <v>3</v>
      </c>
      <c r="L22" s="126">
        <v>8</v>
      </c>
      <c r="M22" s="126"/>
      <c r="N22" s="126"/>
      <c r="O22" s="126"/>
      <c r="P22" s="126"/>
      <c r="Q22" s="126"/>
      <c r="R22" s="126"/>
      <c r="S22" s="126"/>
      <c r="T22" s="127"/>
      <c r="U22" s="126"/>
      <c r="V22" s="52"/>
      <c r="W22" s="17">
        <f t="shared" si="1"/>
        <v>11</v>
      </c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7">
        <f>SUM(X22:AI22)</f>
        <v>0</v>
      </c>
    </row>
    <row r="23" spans="1:36" ht="15" thickBot="1">
      <c r="A23" s="110" t="s">
        <v>78</v>
      </c>
      <c r="B23" s="103" t="s">
        <v>76</v>
      </c>
      <c r="C23" s="63"/>
      <c r="D23" s="63"/>
      <c r="E23" s="17">
        <v>75</v>
      </c>
      <c r="F23" s="49">
        <f t="shared" si="0"/>
        <v>78</v>
      </c>
      <c r="G23" s="17"/>
      <c r="H23" s="61"/>
      <c r="I23" s="50"/>
      <c r="J23" s="51"/>
      <c r="K23" s="126">
        <v>2</v>
      </c>
      <c r="L23" s="126">
        <v>3</v>
      </c>
      <c r="M23" s="126"/>
      <c r="N23" s="126"/>
      <c r="O23" s="126"/>
      <c r="P23" s="126"/>
      <c r="Q23" s="126"/>
      <c r="R23" s="126"/>
      <c r="S23" s="126"/>
      <c r="T23" s="127"/>
      <c r="U23" s="126"/>
      <c r="V23" s="52"/>
      <c r="W23" s="17">
        <f t="shared" si="1"/>
        <v>5</v>
      </c>
      <c r="X23" s="126">
        <v>1</v>
      </c>
      <c r="Y23" s="126">
        <v>1</v>
      </c>
      <c r="Z23" s="126"/>
      <c r="AA23" s="126"/>
      <c r="AB23" s="126"/>
      <c r="AC23" s="133"/>
      <c r="AD23" s="133"/>
      <c r="AE23" s="126"/>
      <c r="AF23" s="126"/>
      <c r="AG23" s="126"/>
      <c r="AH23" s="126"/>
      <c r="AI23" s="126"/>
      <c r="AJ23" s="17">
        <f t="shared" si="2"/>
        <v>2</v>
      </c>
    </row>
    <row r="24" spans="1:36" ht="15" thickBot="1">
      <c r="A24" s="110" t="s">
        <v>78</v>
      </c>
      <c r="B24" s="103" t="s">
        <v>77</v>
      </c>
      <c r="C24" s="63"/>
      <c r="D24" s="63"/>
      <c r="E24" s="17">
        <v>148</v>
      </c>
      <c r="F24" s="49">
        <f t="shared" si="0"/>
        <v>155</v>
      </c>
      <c r="G24" s="17"/>
      <c r="H24" s="61"/>
      <c r="I24" s="50"/>
      <c r="J24" s="51"/>
      <c r="K24" s="126">
        <v>7</v>
      </c>
      <c r="L24" s="126"/>
      <c r="M24" s="126"/>
      <c r="N24" s="126"/>
      <c r="O24" s="126"/>
      <c r="P24" s="126"/>
      <c r="Q24" s="126"/>
      <c r="R24" s="126"/>
      <c r="S24" s="126"/>
      <c r="T24" s="127"/>
      <c r="U24" s="126"/>
      <c r="V24" s="52"/>
      <c r="W24" s="17">
        <f t="shared" si="1"/>
        <v>7</v>
      </c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7">
        <f t="shared" si="2"/>
        <v>0</v>
      </c>
    </row>
    <row r="25" spans="1:37" ht="15" thickBot="1">
      <c r="A25" s="196" t="s">
        <v>200</v>
      </c>
      <c r="B25" s="197"/>
      <c r="C25" s="45">
        <f>+D25/Metas!R30</f>
        <v>0.8364851132571873</v>
      </c>
      <c r="D25" s="19">
        <f>+F25/AK25</f>
        <v>0.14220246925372185</v>
      </c>
      <c r="E25" s="14">
        <f aca="true" t="shared" si="3" ref="E25:K25">SUM(E12:E24)</f>
        <v>5387</v>
      </c>
      <c r="F25" s="14">
        <f t="shared" si="3"/>
        <v>5717</v>
      </c>
      <c r="G25" s="14">
        <f t="shared" si="3"/>
        <v>0</v>
      </c>
      <c r="H25" s="14">
        <f t="shared" si="3"/>
        <v>0</v>
      </c>
      <c r="I25" s="14">
        <f>SUM(I12:I24)</f>
        <v>0</v>
      </c>
      <c r="J25" s="14">
        <f t="shared" si="3"/>
        <v>0</v>
      </c>
      <c r="K25" s="14">
        <f t="shared" si="3"/>
        <v>205</v>
      </c>
      <c r="L25" s="14">
        <f aca="true" t="shared" si="4" ref="L25:V25">SUM(L12:L24)</f>
        <v>195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  <c r="Q25" s="14">
        <f t="shared" si="4"/>
        <v>0</v>
      </c>
      <c r="R25" s="14">
        <f t="shared" si="4"/>
        <v>0</v>
      </c>
      <c r="S25" s="14">
        <f t="shared" si="4"/>
        <v>0</v>
      </c>
      <c r="T25" s="14">
        <f t="shared" si="4"/>
        <v>0</v>
      </c>
      <c r="U25" s="14">
        <f t="shared" si="4"/>
        <v>0</v>
      </c>
      <c r="V25" s="14">
        <f t="shared" si="4"/>
        <v>0</v>
      </c>
      <c r="W25" s="14">
        <f t="shared" si="1"/>
        <v>400</v>
      </c>
      <c r="X25" s="14">
        <f aca="true" t="shared" si="5" ref="X25:AI25">SUM(X12:X24)</f>
        <v>36</v>
      </c>
      <c r="Y25" s="14">
        <f t="shared" si="5"/>
        <v>34</v>
      </c>
      <c r="Z25" s="14">
        <f t="shared" si="5"/>
        <v>0</v>
      </c>
      <c r="AA25" s="14">
        <f t="shared" si="5"/>
        <v>0</v>
      </c>
      <c r="AB25" s="14">
        <f t="shared" si="5"/>
        <v>0</v>
      </c>
      <c r="AC25" s="14">
        <f t="shared" si="5"/>
        <v>0</v>
      </c>
      <c r="AD25" s="14">
        <f t="shared" si="5"/>
        <v>0</v>
      </c>
      <c r="AE25" s="14">
        <f t="shared" si="5"/>
        <v>0</v>
      </c>
      <c r="AF25" s="14">
        <f t="shared" si="5"/>
        <v>0</v>
      </c>
      <c r="AG25" s="14">
        <f t="shared" si="5"/>
        <v>0</v>
      </c>
      <c r="AH25" s="14">
        <f t="shared" si="5"/>
        <v>0</v>
      </c>
      <c r="AI25" s="14">
        <f t="shared" si="5"/>
        <v>0</v>
      </c>
      <c r="AJ25" s="14">
        <f t="shared" si="2"/>
        <v>70</v>
      </c>
      <c r="AK25" s="14">
        <f>182742*0.22</f>
        <v>40203.24</v>
      </c>
    </row>
    <row r="26" spans="1:36" ht="15" thickBot="1">
      <c r="A26" s="110" t="s">
        <v>79</v>
      </c>
      <c r="B26" s="103" t="s">
        <v>80</v>
      </c>
      <c r="C26" s="63"/>
      <c r="D26" s="63"/>
      <c r="E26" s="17">
        <v>909</v>
      </c>
      <c r="F26" s="49">
        <f aca="true" t="shared" si="6" ref="F26:F35">+E26+(K26+L26+M26)-(X26+Y26+Z26)</f>
        <v>1026</v>
      </c>
      <c r="G26" s="17"/>
      <c r="H26" s="61"/>
      <c r="I26" s="50"/>
      <c r="J26" s="51"/>
      <c r="K26" s="126">
        <v>62</v>
      </c>
      <c r="L26" s="126">
        <v>59</v>
      </c>
      <c r="M26" s="126"/>
      <c r="N26" s="126"/>
      <c r="O26" s="126"/>
      <c r="P26" s="126"/>
      <c r="Q26" s="126"/>
      <c r="R26" s="126"/>
      <c r="S26" s="126"/>
      <c r="T26" s="127"/>
      <c r="U26" s="126"/>
      <c r="V26" s="52"/>
      <c r="W26" s="17">
        <f>SUM(K26:V26)</f>
        <v>121</v>
      </c>
      <c r="X26" s="126">
        <v>3</v>
      </c>
      <c r="Y26" s="126">
        <v>1</v>
      </c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7">
        <f t="shared" si="2"/>
        <v>4</v>
      </c>
    </row>
    <row r="27" spans="1:36" ht="15" thickBot="1">
      <c r="A27" s="110" t="s">
        <v>79</v>
      </c>
      <c r="B27" s="103" t="s">
        <v>81</v>
      </c>
      <c r="C27" s="63"/>
      <c r="D27" s="63"/>
      <c r="E27" s="17">
        <v>668</v>
      </c>
      <c r="F27" s="49">
        <f t="shared" si="6"/>
        <v>772</v>
      </c>
      <c r="G27" s="17"/>
      <c r="H27" s="61"/>
      <c r="I27" s="50"/>
      <c r="J27" s="51"/>
      <c r="K27" s="126">
        <v>34</v>
      </c>
      <c r="L27" s="126">
        <v>76</v>
      </c>
      <c r="M27" s="126"/>
      <c r="N27" s="126"/>
      <c r="O27" s="126"/>
      <c r="P27" s="126"/>
      <c r="Q27" s="126"/>
      <c r="R27" s="126"/>
      <c r="S27" s="126"/>
      <c r="T27" s="127"/>
      <c r="U27" s="126"/>
      <c r="V27" s="52"/>
      <c r="W27" s="17">
        <f aca="true" t="shared" si="7" ref="W27:W35">SUM(K27:V27)</f>
        <v>110</v>
      </c>
      <c r="X27" s="126">
        <v>5</v>
      </c>
      <c r="Y27" s="126">
        <v>1</v>
      </c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7">
        <f t="shared" si="2"/>
        <v>6</v>
      </c>
    </row>
    <row r="28" spans="1:36" ht="15" thickBot="1">
      <c r="A28" s="110" t="s">
        <v>79</v>
      </c>
      <c r="B28" s="103" t="s">
        <v>82</v>
      </c>
      <c r="C28" s="63"/>
      <c r="D28" s="63"/>
      <c r="E28" s="17">
        <v>1535</v>
      </c>
      <c r="F28" s="49">
        <f t="shared" si="6"/>
        <v>1603</v>
      </c>
      <c r="G28" s="17"/>
      <c r="H28" s="61"/>
      <c r="I28" s="50"/>
      <c r="J28" s="51"/>
      <c r="K28" s="126">
        <v>54</v>
      </c>
      <c r="L28" s="126">
        <v>76</v>
      </c>
      <c r="M28" s="126"/>
      <c r="N28" s="126"/>
      <c r="O28" s="126"/>
      <c r="P28" s="126"/>
      <c r="Q28" s="126"/>
      <c r="R28" s="126"/>
      <c r="S28" s="126"/>
      <c r="T28" s="127"/>
      <c r="U28" s="126"/>
      <c r="V28" s="52"/>
      <c r="W28" s="17">
        <f t="shared" si="7"/>
        <v>130</v>
      </c>
      <c r="X28" s="126">
        <v>26</v>
      </c>
      <c r="Y28" s="126">
        <v>36</v>
      </c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7">
        <f t="shared" si="2"/>
        <v>62</v>
      </c>
    </row>
    <row r="29" spans="1:36" ht="15" thickBot="1">
      <c r="A29" s="110" t="s">
        <v>79</v>
      </c>
      <c r="B29" s="103" t="s">
        <v>83</v>
      </c>
      <c r="C29" s="63"/>
      <c r="D29" s="63"/>
      <c r="E29" s="17">
        <v>211</v>
      </c>
      <c r="F29" s="49">
        <f t="shared" si="6"/>
        <v>262</v>
      </c>
      <c r="G29" s="17"/>
      <c r="H29" s="61"/>
      <c r="I29" s="50"/>
      <c r="J29" s="51"/>
      <c r="K29" s="126">
        <v>33</v>
      </c>
      <c r="L29" s="126">
        <v>18</v>
      </c>
      <c r="M29" s="126"/>
      <c r="N29" s="126"/>
      <c r="O29" s="126"/>
      <c r="P29" s="126"/>
      <c r="Q29" s="126"/>
      <c r="R29" s="126"/>
      <c r="S29" s="126"/>
      <c r="T29" s="127"/>
      <c r="U29" s="126"/>
      <c r="V29" s="52"/>
      <c r="W29" s="17">
        <f t="shared" si="7"/>
        <v>51</v>
      </c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7">
        <f t="shared" si="2"/>
        <v>0</v>
      </c>
    </row>
    <row r="30" spans="1:36" ht="15" thickBot="1">
      <c r="A30" s="110" t="s">
        <v>79</v>
      </c>
      <c r="B30" s="103" t="s">
        <v>84</v>
      </c>
      <c r="C30" s="63"/>
      <c r="D30" s="63"/>
      <c r="E30" s="17">
        <v>1167</v>
      </c>
      <c r="F30" s="49">
        <f t="shared" si="6"/>
        <v>1239</v>
      </c>
      <c r="G30" s="17"/>
      <c r="H30" s="61"/>
      <c r="I30" s="50"/>
      <c r="J30" s="51"/>
      <c r="K30" s="126">
        <v>33</v>
      </c>
      <c r="L30" s="126">
        <v>39</v>
      </c>
      <c r="M30" s="126"/>
      <c r="N30" s="126"/>
      <c r="O30" s="126"/>
      <c r="P30" s="126"/>
      <c r="Q30" s="126"/>
      <c r="R30" s="126"/>
      <c r="S30" s="126"/>
      <c r="T30" s="127"/>
      <c r="U30" s="126"/>
      <c r="V30" s="52"/>
      <c r="W30" s="17">
        <f t="shared" si="7"/>
        <v>72</v>
      </c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7">
        <f t="shared" si="2"/>
        <v>0</v>
      </c>
    </row>
    <row r="31" spans="1:36" ht="15" thickBot="1">
      <c r="A31" s="110" t="s">
        <v>79</v>
      </c>
      <c r="B31" s="103" t="s">
        <v>85</v>
      </c>
      <c r="C31" s="63"/>
      <c r="D31" s="63"/>
      <c r="E31" s="17">
        <v>25</v>
      </c>
      <c r="F31" s="49">
        <f t="shared" si="6"/>
        <v>33</v>
      </c>
      <c r="G31" s="17"/>
      <c r="H31" s="61"/>
      <c r="I31" s="50"/>
      <c r="J31" s="51"/>
      <c r="K31" s="126">
        <v>8</v>
      </c>
      <c r="L31" s="126"/>
      <c r="M31" s="126"/>
      <c r="N31" s="126"/>
      <c r="O31" s="126"/>
      <c r="P31" s="126"/>
      <c r="Q31" s="126"/>
      <c r="R31" s="126"/>
      <c r="S31" s="126"/>
      <c r="T31" s="127"/>
      <c r="U31" s="126"/>
      <c r="V31" s="52"/>
      <c r="W31" s="17">
        <f t="shared" si="7"/>
        <v>8</v>
      </c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7">
        <f t="shared" si="2"/>
        <v>0</v>
      </c>
    </row>
    <row r="32" spans="1:36" ht="15" thickBot="1">
      <c r="A32" s="110" t="s">
        <v>79</v>
      </c>
      <c r="B32" s="103" t="s">
        <v>86</v>
      </c>
      <c r="C32" s="63"/>
      <c r="D32" s="63"/>
      <c r="E32" s="17">
        <v>66</v>
      </c>
      <c r="F32" s="49">
        <f t="shared" si="6"/>
        <v>76</v>
      </c>
      <c r="G32" s="17"/>
      <c r="H32" s="61"/>
      <c r="I32" s="50"/>
      <c r="J32" s="51"/>
      <c r="K32" s="126">
        <v>5</v>
      </c>
      <c r="L32" s="126">
        <v>5</v>
      </c>
      <c r="M32" s="126"/>
      <c r="N32" s="126"/>
      <c r="O32" s="126"/>
      <c r="P32" s="126"/>
      <c r="Q32" s="126"/>
      <c r="R32" s="126"/>
      <c r="S32" s="126"/>
      <c r="T32" s="127"/>
      <c r="U32" s="126"/>
      <c r="V32" s="52"/>
      <c r="W32" s="17">
        <f t="shared" si="7"/>
        <v>10</v>
      </c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7">
        <f t="shared" si="2"/>
        <v>0</v>
      </c>
    </row>
    <row r="33" spans="1:36" ht="15" thickBot="1">
      <c r="A33" s="110" t="s">
        <v>79</v>
      </c>
      <c r="B33" s="103" t="s">
        <v>87</v>
      </c>
      <c r="C33" s="63"/>
      <c r="D33" s="63"/>
      <c r="E33" s="17">
        <v>163</v>
      </c>
      <c r="F33" s="49">
        <f t="shared" si="6"/>
        <v>230</v>
      </c>
      <c r="G33" s="17"/>
      <c r="H33" s="61"/>
      <c r="I33" s="50"/>
      <c r="J33" s="51"/>
      <c r="K33" s="126">
        <v>28</v>
      </c>
      <c r="L33" s="126">
        <v>39</v>
      </c>
      <c r="M33" s="126"/>
      <c r="N33" s="126"/>
      <c r="O33" s="126"/>
      <c r="P33" s="126"/>
      <c r="Q33" s="126"/>
      <c r="R33" s="126"/>
      <c r="S33" s="126"/>
      <c r="T33" s="127"/>
      <c r="U33" s="126"/>
      <c r="V33" s="52"/>
      <c r="W33" s="17">
        <f t="shared" si="7"/>
        <v>67</v>
      </c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7">
        <f t="shared" si="2"/>
        <v>0</v>
      </c>
    </row>
    <row r="34" spans="1:36" ht="15" thickBot="1">
      <c r="A34" s="110" t="s">
        <v>79</v>
      </c>
      <c r="B34" s="103" t="s">
        <v>88</v>
      </c>
      <c r="C34" s="63"/>
      <c r="D34" s="63"/>
      <c r="E34" s="17">
        <v>18</v>
      </c>
      <c r="F34" s="49">
        <f t="shared" si="6"/>
        <v>21</v>
      </c>
      <c r="G34" s="17"/>
      <c r="H34" s="61"/>
      <c r="I34" s="50"/>
      <c r="J34" s="51"/>
      <c r="K34" s="126">
        <v>3</v>
      </c>
      <c r="L34" s="126"/>
      <c r="M34" s="126"/>
      <c r="N34" s="126"/>
      <c r="O34" s="126"/>
      <c r="P34" s="126"/>
      <c r="Q34" s="126"/>
      <c r="R34" s="126"/>
      <c r="S34" s="126"/>
      <c r="T34" s="127"/>
      <c r="U34" s="126"/>
      <c r="V34" s="52"/>
      <c r="W34" s="17">
        <f t="shared" si="7"/>
        <v>3</v>
      </c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7">
        <f t="shared" si="2"/>
        <v>0</v>
      </c>
    </row>
    <row r="35" spans="1:36" ht="15" thickBot="1">
      <c r="A35" s="110" t="s">
        <v>79</v>
      </c>
      <c r="B35" s="103" t="s">
        <v>89</v>
      </c>
      <c r="C35" s="63"/>
      <c r="D35" s="63"/>
      <c r="E35" s="17">
        <v>169</v>
      </c>
      <c r="F35" s="49">
        <f t="shared" si="6"/>
        <v>140</v>
      </c>
      <c r="G35" s="17"/>
      <c r="H35" s="61"/>
      <c r="I35" s="50"/>
      <c r="J35" s="51"/>
      <c r="K35" s="126">
        <v>2</v>
      </c>
      <c r="L35" s="126">
        <v>4</v>
      </c>
      <c r="M35" s="126"/>
      <c r="N35" s="126"/>
      <c r="O35" s="126"/>
      <c r="P35" s="126"/>
      <c r="Q35" s="126"/>
      <c r="R35" s="126"/>
      <c r="S35" s="126"/>
      <c r="T35" s="127"/>
      <c r="U35" s="126"/>
      <c r="V35" s="52"/>
      <c r="W35" s="17">
        <f t="shared" si="7"/>
        <v>6</v>
      </c>
      <c r="X35" s="126">
        <v>2</v>
      </c>
      <c r="Y35" s="126">
        <v>33</v>
      </c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7">
        <f t="shared" si="2"/>
        <v>35</v>
      </c>
    </row>
    <row r="36" spans="1:37" ht="15" thickBot="1">
      <c r="A36" s="196" t="s">
        <v>201</v>
      </c>
      <c r="B36" s="197"/>
      <c r="C36" s="45">
        <f>+D36/Metas!R28</f>
        <v>0.8617072209820891</v>
      </c>
      <c r="D36" s="19">
        <f>+F36/AK36</f>
        <v>0.14649022756695515</v>
      </c>
      <c r="E36" s="14">
        <f aca="true" t="shared" si="8" ref="E36:V36">SUM(E26:E35)</f>
        <v>4931</v>
      </c>
      <c r="F36" s="14">
        <f t="shared" si="8"/>
        <v>5402</v>
      </c>
      <c r="G36" s="14">
        <f t="shared" si="8"/>
        <v>0</v>
      </c>
      <c r="H36" s="14">
        <f t="shared" si="8"/>
        <v>0</v>
      </c>
      <c r="I36" s="14">
        <f>SUM(I26:I35)</f>
        <v>0</v>
      </c>
      <c r="J36" s="14">
        <f t="shared" si="8"/>
        <v>0</v>
      </c>
      <c r="K36" s="14">
        <f t="shared" si="8"/>
        <v>262</v>
      </c>
      <c r="L36" s="14">
        <f t="shared" si="8"/>
        <v>316</v>
      </c>
      <c r="M36" s="14">
        <f t="shared" si="8"/>
        <v>0</v>
      </c>
      <c r="N36" s="14">
        <f t="shared" si="8"/>
        <v>0</v>
      </c>
      <c r="O36" s="14">
        <f t="shared" si="8"/>
        <v>0</v>
      </c>
      <c r="P36" s="14">
        <f t="shared" si="8"/>
        <v>0</v>
      </c>
      <c r="Q36" s="14">
        <f t="shared" si="8"/>
        <v>0</v>
      </c>
      <c r="R36" s="14">
        <f t="shared" si="8"/>
        <v>0</v>
      </c>
      <c r="S36" s="14">
        <f t="shared" si="8"/>
        <v>0</v>
      </c>
      <c r="T36" s="14">
        <f t="shared" si="8"/>
        <v>0</v>
      </c>
      <c r="U36" s="14">
        <f t="shared" si="8"/>
        <v>0</v>
      </c>
      <c r="V36" s="14">
        <f t="shared" si="8"/>
        <v>0</v>
      </c>
      <c r="W36" s="14">
        <f>SUM(K36:V36)</f>
        <v>578</v>
      </c>
      <c r="X36" s="14">
        <f aca="true" t="shared" si="9" ref="X36:AI36">SUM(X26:X35)</f>
        <v>36</v>
      </c>
      <c r="Y36" s="14">
        <f t="shared" si="9"/>
        <v>71</v>
      </c>
      <c r="Z36" s="14">
        <f t="shared" si="9"/>
        <v>0</v>
      </c>
      <c r="AA36" s="14">
        <f t="shared" si="9"/>
        <v>0</v>
      </c>
      <c r="AB36" s="14">
        <f t="shared" si="9"/>
        <v>0</v>
      </c>
      <c r="AC36" s="14">
        <f t="shared" si="9"/>
        <v>0</v>
      </c>
      <c r="AD36" s="14">
        <f t="shared" si="9"/>
        <v>0</v>
      </c>
      <c r="AE36" s="14">
        <f t="shared" si="9"/>
        <v>0</v>
      </c>
      <c r="AF36" s="14">
        <f t="shared" si="9"/>
        <v>0</v>
      </c>
      <c r="AG36" s="14">
        <f t="shared" si="9"/>
        <v>0</v>
      </c>
      <c r="AH36" s="14">
        <f t="shared" si="9"/>
        <v>0</v>
      </c>
      <c r="AI36" s="14">
        <f t="shared" si="9"/>
        <v>0</v>
      </c>
      <c r="AJ36" s="14">
        <f t="shared" si="2"/>
        <v>107</v>
      </c>
      <c r="AK36" s="14">
        <f>167619*0.22</f>
        <v>36876.18</v>
      </c>
    </row>
    <row r="37" spans="1:36" ht="15" thickBot="1">
      <c r="A37" s="110" t="s">
        <v>100</v>
      </c>
      <c r="B37" s="103" t="s">
        <v>90</v>
      </c>
      <c r="C37" s="63"/>
      <c r="D37" s="63"/>
      <c r="E37" s="17">
        <v>79</v>
      </c>
      <c r="F37" s="49">
        <f aca="true" t="shared" si="10" ref="F37:F46">+E37+(K37+L37+M37)-(X37+Y37+Z37)</f>
        <v>79</v>
      </c>
      <c r="G37" s="17"/>
      <c r="H37" s="61"/>
      <c r="I37" s="50"/>
      <c r="J37" s="51"/>
      <c r="K37" s="126"/>
      <c r="L37" s="126"/>
      <c r="M37" s="126"/>
      <c r="N37" s="126"/>
      <c r="O37" s="126"/>
      <c r="P37" s="126"/>
      <c r="Q37" s="126"/>
      <c r="R37" s="126"/>
      <c r="S37" s="126"/>
      <c r="T37" s="127"/>
      <c r="U37" s="126"/>
      <c r="V37" s="52"/>
      <c r="W37" s="17">
        <f t="shared" si="1"/>
        <v>0</v>
      </c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7">
        <f t="shared" si="2"/>
        <v>0</v>
      </c>
    </row>
    <row r="38" spans="1:36" ht="15" thickBot="1">
      <c r="A38" s="110" t="s">
        <v>100</v>
      </c>
      <c r="B38" s="103" t="s">
        <v>91</v>
      </c>
      <c r="C38" s="63"/>
      <c r="D38" s="63"/>
      <c r="E38" s="17">
        <v>38</v>
      </c>
      <c r="F38" s="49">
        <f t="shared" si="10"/>
        <v>40</v>
      </c>
      <c r="G38" s="17"/>
      <c r="H38" s="61"/>
      <c r="I38" s="50"/>
      <c r="J38" s="51"/>
      <c r="K38" s="126">
        <v>1</v>
      </c>
      <c r="L38" s="126">
        <v>1</v>
      </c>
      <c r="M38" s="126"/>
      <c r="N38" s="126"/>
      <c r="O38" s="126"/>
      <c r="P38" s="126"/>
      <c r="Q38" s="126"/>
      <c r="R38" s="126"/>
      <c r="S38" s="126"/>
      <c r="T38" s="127"/>
      <c r="U38" s="126"/>
      <c r="V38" s="52"/>
      <c r="W38" s="17">
        <f t="shared" si="1"/>
        <v>2</v>
      </c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7">
        <f t="shared" si="2"/>
        <v>0</v>
      </c>
    </row>
    <row r="39" spans="1:36" ht="15" thickBot="1">
      <c r="A39" s="110" t="s">
        <v>100</v>
      </c>
      <c r="B39" s="103" t="s">
        <v>92</v>
      </c>
      <c r="C39" s="63"/>
      <c r="D39" s="63"/>
      <c r="E39" s="17">
        <v>54</v>
      </c>
      <c r="F39" s="49">
        <f t="shared" si="10"/>
        <v>55</v>
      </c>
      <c r="G39" s="17"/>
      <c r="H39" s="61"/>
      <c r="I39" s="50"/>
      <c r="J39" s="51"/>
      <c r="K39" s="126">
        <v>1</v>
      </c>
      <c r="L39" s="126"/>
      <c r="M39" s="126"/>
      <c r="N39" s="126"/>
      <c r="O39" s="126"/>
      <c r="P39" s="126"/>
      <c r="Q39" s="126"/>
      <c r="R39" s="126"/>
      <c r="S39" s="126"/>
      <c r="T39" s="127"/>
      <c r="U39" s="126"/>
      <c r="V39" s="52"/>
      <c r="W39" s="17">
        <f t="shared" si="1"/>
        <v>1</v>
      </c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7">
        <f t="shared" si="2"/>
        <v>0</v>
      </c>
    </row>
    <row r="40" spans="1:36" ht="15" thickBot="1">
      <c r="A40" s="110" t="s">
        <v>100</v>
      </c>
      <c r="B40" s="103" t="s">
        <v>93</v>
      </c>
      <c r="C40" s="63"/>
      <c r="D40" s="63"/>
      <c r="E40" s="17">
        <v>2</v>
      </c>
      <c r="F40" s="49">
        <f t="shared" si="10"/>
        <v>2</v>
      </c>
      <c r="G40" s="17"/>
      <c r="H40" s="61"/>
      <c r="I40" s="50"/>
      <c r="J40" s="51"/>
      <c r="K40" s="121"/>
      <c r="L40" s="121"/>
      <c r="M40" s="121"/>
      <c r="N40" s="121"/>
      <c r="O40" s="121"/>
      <c r="P40" s="121"/>
      <c r="Q40" s="121"/>
      <c r="R40" s="121"/>
      <c r="S40" s="121"/>
      <c r="T40" s="127"/>
      <c r="U40" s="126"/>
      <c r="V40" s="52"/>
      <c r="W40" s="17">
        <f t="shared" si="1"/>
        <v>0</v>
      </c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7">
        <f t="shared" si="2"/>
        <v>0</v>
      </c>
    </row>
    <row r="41" spans="1:36" ht="15" thickBot="1">
      <c r="A41" s="110" t="s">
        <v>100</v>
      </c>
      <c r="B41" s="103" t="s">
        <v>94</v>
      </c>
      <c r="C41" s="63"/>
      <c r="D41" s="63"/>
      <c r="E41" s="17">
        <v>75</v>
      </c>
      <c r="F41" s="49">
        <f t="shared" si="10"/>
        <v>77</v>
      </c>
      <c r="G41" s="17"/>
      <c r="H41" s="61"/>
      <c r="I41" s="50"/>
      <c r="J41" s="51"/>
      <c r="K41" s="126">
        <v>2</v>
      </c>
      <c r="L41" s="126"/>
      <c r="M41" s="126"/>
      <c r="N41" s="126"/>
      <c r="O41" s="126"/>
      <c r="P41" s="126"/>
      <c r="Q41" s="126"/>
      <c r="R41" s="126"/>
      <c r="S41" s="126"/>
      <c r="T41" s="127"/>
      <c r="U41" s="126"/>
      <c r="V41" s="52"/>
      <c r="W41" s="17">
        <f t="shared" si="1"/>
        <v>2</v>
      </c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7">
        <f t="shared" si="2"/>
        <v>0</v>
      </c>
    </row>
    <row r="42" spans="1:36" ht="15" thickBot="1">
      <c r="A42" s="110" t="s">
        <v>100</v>
      </c>
      <c r="B42" s="103" t="s">
        <v>95</v>
      </c>
      <c r="C42" s="63"/>
      <c r="D42" s="63"/>
      <c r="E42" s="17">
        <v>56</v>
      </c>
      <c r="F42" s="49">
        <f t="shared" si="10"/>
        <v>56</v>
      </c>
      <c r="G42" s="17"/>
      <c r="H42" s="61"/>
      <c r="I42" s="50"/>
      <c r="J42" s="51"/>
      <c r="K42" s="126"/>
      <c r="L42" s="126"/>
      <c r="M42" s="126"/>
      <c r="N42" s="126"/>
      <c r="O42" s="126"/>
      <c r="P42" s="126"/>
      <c r="Q42" s="126"/>
      <c r="R42" s="126"/>
      <c r="S42" s="126"/>
      <c r="T42" s="127"/>
      <c r="U42" s="126"/>
      <c r="V42" s="52"/>
      <c r="W42" s="17">
        <f t="shared" si="1"/>
        <v>0</v>
      </c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7">
        <f t="shared" si="2"/>
        <v>0</v>
      </c>
    </row>
    <row r="43" spans="1:36" ht="15" thickBot="1">
      <c r="A43" s="110" t="s">
        <v>100</v>
      </c>
      <c r="B43" s="103" t="s">
        <v>96</v>
      </c>
      <c r="C43" s="63"/>
      <c r="D43" s="63"/>
      <c r="E43" s="17">
        <v>38</v>
      </c>
      <c r="F43" s="49">
        <f t="shared" si="10"/>
        <v>39</v>
      </c>
      <c r="G43" s="17"/>
      <c r="H43" s="61"/>
      <c r="I43" s="50"/>
      <c r="J43" s="51"/>
      <c r="K43" s="126">
        <v>1</v>
      </c>
      <c r="L43" s="126"/>
      <c r="M43" s="126"/>
      <c r="N43" s="126"/>
      <c r="O43" s="126"/>
      <c r="P43" s="126"/>
      <c r="Q43" s="126"/>
      <c r="R43" s="126"/>
      <c r="S43" s="126"/>
      <c r="T43" s="127"/>
      <c r="U43" s="126"/>
      <c r="V43" s="52"/>
      <c r="W43" s="17">
        <f t="shared" si="1"/>
        <v>1</v>
      </c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7">
        <f t="shared" si="2"/>
        <v>0</v>
      </c>
    </row>
    <row r="44" spans="1:36" ht="15" thickBot="1">
      <c r="A44" s="110" t="s">
        <v>100</v>
      </c>
      <c r="B44" s="103" t="s">
        <v>97</v>
      </c>
      <c r="C44" s="63"/>
      <c r="D44" s="63"/>
      <c r="E44" s="17">
        <v>30</v>
      </c>
      <c r="F44" s="49">
        <f t="shared" si="10"/>
        <v>30</v>
      </c>
      <c r="G44" s="17"/>
      <c r="H44" s="61"/>
      <c r="I44" s="50"/>
      <c r="J44" s="51"/>
      <c r="K44" s="126"/>
      <c r="L44" s="126"/>
      <c r="M44" s="126"/>
      <c r="N44" s="126"/>
      <c r="O44" s="126"/>
      <c r="P44" s="126"/>
      <c r="Q44" s="126"/>
      <c r="R44" s="126"/>
      <c r="S44" s="126"/>
      <c r="T44" s="127"/>
      <c r="U44" s="126"/>
      <c r="V44" s="52"/>
      <c r="W44" s="17">
        <f t="shared" si="1"/>
        <v>0</v>
      </c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7">
        <f t="shared" si="2"/>
        <v>0</v>
      </c>
    </row>
    <row r="45" spans="1:36" ht="15" thickBot="1">
      <c r="A45" s="110" t="s">
        <v>100</v>
      </c>
      <c r="B45" s="103" t="s">
        <v>98</v>
      </c>
      <c r="C45" s="63"/>
      <c r="D45" s="63"/>
      <c r="E45" s="17">
        <v>154</v>
      </c>
      <c r="F45" s="49">
        <f t="shared" si="10"/>
        <v>166</v>
      </c>
      <c r="G45" s="17"/>
      <c r="H45" s="61"/>
      <c r="I45" s="50"/>
      <c r="J45" s="51"/>
      <c r="K45" s="126">
        <v>12</v>
      </c>
      <c r="L45" s="126"/>
      <c r="M45" s="126"/>
      <c r="N45" s="126"/>
      <c r="O45" s="126"/>
      <c r="P45" s="126"/>
      <c r="Q45" s="126"/>
      <c r="R45" s="126"/>
      <c r="S45" s="126"/>
      <c r="T45" s="127"/>
      <c r="U45" s="126"/>
      <c r="V45" s="52"/>
      <c r="W45" s="17">
        <f t="shared" si="1"/>
        <v>12</v>
      </c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7">
        <f t="shared" si="2"/>
        <v>0</v>
      </c>
    </row>
    <row r="46" spans="1:36" ht="15" thickBot="1">
      <c r="A46" s="110" t="s">
        <v>100</v>
      </c>
      <c r="B46" s="103" t="s">
        <v>99</v>
      </c>
      <c r="C46" s="63"/>
      <c r="D46" s="63"/>
      <c r="E46" s="17">
        <v>17</v>
      </c>
      <c r="F46" s="49">
        <f t="shared" si="10"/>
        <v>18</v>
      </c>
      <c r="G46" s="17"/>
      <c r="H46" s="61"/>
      <c r="I46" s="50"/>
      <c r="J46" s="51"/>
      <c r="K46" s="126">
        <v>1</v>
      </c>
      <c r="L46" s="126"/>
      <c r="M46" s="126"/>
      <c r="N46" s="126"/>
      <c r="O46" s="126"/>
      <c r="P46" s="126"/>
      <c r="Q46" s="126"/>
      <c r="R46" s="126"/>
      <c r="S46" s="126"/>
      <c r="T46" s="127"/>
      <c r="U46" s="126"/>
      <c r="V46" s="52"/>
      <c r="W46" s="17">
        <f t="shared" si="1"/>
        <v>1</v>
      </c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7">
        <f t="shared" si="2"/>
        <v>0</v>
      </c>
    </row>
    <row r="47" spans="1:37" ht="20.25" customHeight="1" thickBot="1">
      <c r="A47" s="196" t="s">
        <v>202</v>
      </c>
      <c r="B47" s="197"/>
      <c r="C47" s="45">
        <f>+D47/Metas!R37</f>
        <v>1.0359779281399994</v>
      </c>
      <c r="D47" s="19">
        <f>+F47/AK47</f>
        <v>0.23827492347219986</v>
      </c>
      <c r="E47" s="14">
        <f aca="true" t="shared" si="11" ref="E47:K47">SUM(E37:E46)</f>
        <v>543</v>
      </c>
      <c r="F47" s="14">
        <f t="shared" si="11"/>
        <v>562</v>
      </c>
      <c r="G47" s="14">
        <f t="shared" si="11"/>
        <v>0</v>
      </c>
      <c r="H47" s="14">
        <f t="shared" si="11"/>
        <v>0</v>
      </c>
      <c r="I47" s="14">
        <f>SUM(I37:I46)</f>
        <v>0</v>
      </c>
      <c r="J47" s="14">
        <f t="shared" si="11"/>
        <v>0</v>
      </c>
      <c r="K47" s="14">
        <f t="shared" si="11"/>
        <v>18</v>
      </c>
      <c r="L47" s="14">
        <f aca="true" t="shared" si="12" ref="L47:V47">SUM(L37:L46)</f>
        <v>1</v>
      </c>
      <c r="M47" s="14">
        <f t="shared" si="12"/>
        <v>0</v>
      </c>
      <c r="N47" s="14">
        <f t="shared" si="12"/>
        <v>0</v>
      </c>
      <c r="O47" s="14">
        <f t="shared" si="12"/>
        <v>0</v>
      </c>
      <c r="P47" s="14">
        <f t="shared" si="12"/>
        <v>0</v>
      </c>
      <c r="Q47" s="14">
        <f>SUM(Q37:Q46)</f>
        <v>0</v>
      </c>
      <c r="R47" s="14">
        <f t="shared" si="12"/>
        <v>0</v>
      </c>
      <c r="S47" s="14">
        <f t="shared" si="12"/>
        <v>0</v>
      </c>
      <c r="T47" s="14">
        <f t="shared" si="12"/>
        <v>0</v>
      </c>
      <c r="U47" s="14">
        <f t="shared" si="12"/>
        <v>0</v>
      </c>
      <c r="V47" s="14">
        <f t="shared" si="12"/>
        <v>0</v>
      </c>
      <c r="W47" s="14">
        <f t="shared" si="1"/>
        <v>19</v>
      </c>
      <c r="X47" s="14">
        <f aca="true" t="shared" si="13" ref="X47:AI47">SUM(X37:X46)</f>
        <v>0</v>
      </c>
      <c r="Y47" s="14">
        <f t="shared" si="13"/>
        <v>0</v>
      </c>
      <c r="Z47" s="14">
        <f t="shared" si="13"/>
        <v>0</v>
      </c>
      <c r="AA47" s="14">
        <f t="shared" si="13"/>
        <v>0</v>
      </c>
      <c r="AB47" s="14">
        <f t="shared" si="13"/>
        <v>0</v>
      </c>
      <c r="AC47" s="14">
        <f t="shared" si="13"/>
        <v>0</v>
      </c>
      <c r="AD47" s="14">
        <f t="shared" si="13"/>
        <v>0</v>
      </c>
      <c r="AE47" s="14">
        <f t="shared" si="13"/>
        <v>0</v>
      </c>
      <c r="AF47" s="14">
        <f t="shared" si="13"/>
        <v>0</v>
      </c>
      <c r="AG47" s="14">
        <f t="shared" si="13"/>
        <v>0</v>
      </c>
      <c r="AH47" s="14">
        <f t="shared" si="13"/>
        <v>0</v>
      </c>
      <c r="AI47" s="14">
        <f t="shared" si="13"/>
        <v>0</v>
      </c>
      <c r="AJ47" s="14">
        <f t="shared" si="2"/>
        <v>0</v>
      </c>
      <c r="AK47" s="14">
        <f>10721*0.22</f>
        <v>2358.62</v>
      </c>
    </row>
    <row r="48" spans="1:36" ht="15" thickBot="1">
      <c r="A48" s="110" t="s">
        <v>114</v>
      </c>
      <c r="B48" s="103" t="s">
        <v>101</v>
      </c>
      <c r="C48" s="63"/>
      <c r="D48" s="63"/>
      <c r="E48" s="17">
        <v>281</v>
      </c>
      <c r="F48" s="49">
        <f aca="true" t="shared" si="14" ref="F48:F60">+E48+(K48+L48+M48)-(X48+Y48+Z48)</f>
        <v>312</v>
      </c>
      <c r="G48" s="17"/>
      <c r="H48" s="61"/>
      <c r="I48" s="50"/>
      <c r="J48" s="51"/>
      <c r="K48" s="126">
        <v>9</v>
      </c>
      <c r="L48" s="126">
        <v>22</v>
      </c>
      <c r="M48" s="126"/>
      <c r="N48" s="126"/>
      <c r="O48" s="126"/>
      <c r="P48" s="126"/>
      <c r="Q48" s="126"/>
      <c r="R48" s="126"/>
      <c r="S48" s="126"/>
      <c r="T48" s="127"/>
      <c r="U48" s="126"/>
      <c r="V48" s="126"/>
      <c r="W48" s="17">
        <f t="shared" si="1"/>
        <v>31</v>
      </c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7">
        <f t="shared" si="2"/>
        <v>0</v>
      </c>
    </row>
    <row r="49" spans="1:36" ht="15" thickBot="1">
      <c r="A49" s="110" t="s">
        <v>114</v>
      </c>
      <c r="B49" s="103" t="s">
        <v>102</v>
      </c>
      <c r="C49" s="63"/>
      <c r="D49" s="63"/>
      <c r="E49" s="17">
        <v>16</v>
      </c>
      <c r="F49" s="49">
        <f t="shared" si="14"/>
        <v>16</v>
      </c>
      <c r="G49" s="17"/>
      <c r="H49" s="61"/>
      <c r="I49" s="50"/>
      <c r="J49" s="51"/>
      <c r="K49" s="126"/>
      <c r="L49" s="126"/>
      <c r="M49" s="126"/>
      <c r="N49" s="126"/>
      <c r="O49" s="126"/>
      <c r="P49" s="126"/>
      <c r="Q49" s="126"/>
      <c r="R49" s="126"/>
      <c r="S49" s="126"/>
      <c r="T49" s="127"/>
      <c r="U49" s="126"/>
      <c r="V49" s="126"/>
      <c r="W49" s="17">
        <f t="shared" si="1"/>
        <v>0</v>
      </c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7">
        <f t="shared" si="2"/>
        <v>0</v>
      </c>
    </row>
    <row r="50" spans="1:36" ht="15" thickBot="1">
      <c r="A50" s="110" t="s">
        <v>114</v>
      </c>
      <c r="B50" s="103" t="s">
        <v>103</v>
      </c>
      <c r="C50" s="63"/>
      <c r="D50" s="63"/>
      <c r="E50" s="17">
        <v>7</v>
      </c>
      <c r="F50" s="49">
        <f t="shared" si="14"/>
        <v>7</v>
      </c>
      <c r="G50" s="17"/>
      <c r="H50" s="61"/>
      <c r="I50" s="50"/>
      <c r="J50" s="51"/>
      <c r="K50" s="126"/>
      <c r="L50" s="126"/>
      <c r="M50" s="126"/>
      <c r="N50" s="126"/>
      <c r="O50" s="126"/>
      <c r="P50" s="126"/>
      <c r="Q50" s="126"/>
      <c r="R50" s="126"/>
      <c r="S50" s="126"/>
      <c r="T50" s="127"/>
      <c r="U50" s="126"/>
      <c r="V50" s="126"/>
      <c r="W50" s="17">
        <f t="shared" si="1"/>
        <v>0</v>
      </c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7">
        <f t="shared" si="2"/>
        <v>0</v>
      </c>
    </row>
    <row r="51" spans="1:36" ht="15" thickBot="1">
      <c r="A51" s="110" t="s">
        <v>114</v>
      </c>
      <c r="B51" s="103" t="s">
        <v>104</v>
      </c>
      <c r="C51" s="63"/>
      <c r="D51" s="63"/>
      <c r="E51" s="17">
        <v>7</v>
      </c>
      <c r="F51" s="49">
        <f t="shared" si="14"/>
        <v>7</v>
      </c>
      <c r="G51" s="17"/>
      <c r="H51" s="61"/>
      <c r="I51" s="50"/>
      <c r="J51" s="51"/>
      <c r="K51" s="126"/>
      <c r="L51" s="126"/>
      <c r="M51" s="126"/>
      <c r="N51" s="126"/>
      <c r="O51" s="126"/>
      <c r="P51" s="126"/>
      <c r="Q51" s="126"/>
      <c r="R51" s="126"/>
      <c r="S51" s="126"/>
      <c r="T51" s="127"/>
      <c r="U51" s="126"/>
      <c r="V51" s="126"/>
      <c r="W51" s="17">
        <f t="shared" si="1"/>
        <v>0</v>
      </c>
      <c r="X51" s="121"/>
      <c r="Y51" s="121"/>
      <c r="Z51" s="121"/>
      <c r="AA51" s="121"/>
      <c r="AB51" s="121"/>
      <c r="AC51" s="121"/>
      <c r="AD51" s="121"/>
      <c r="AE51" s="121"/>
      <c r="AF51" s="121"/>
      <c r="AG51" s="126"/>
      <c r="AH51" s="126"/>
      <c r="AI51" s="126"/>
      <c r="AJ51" s="17">
        <f t="shared" si="2"/>
        <v>0</v>
      </c>
    </row>
    <row r="52" spans="1:36" ht="15" thickBot="1">
      <c r="A52" s="110" t="s">
        <v>114</v>
      </c>
      <c r="B52" s="103" t="s">
        <v>105</v>
      </c>
      <c r="C52" s="63"/>
      <c r="D52" s="63"/>
      <c r="E52" s="17">
        <v>5</v>
      </c>
      <c r="F52" s="49">
        <f t="shared" si="14"/>
        <v>5</v>
      </c>
      <c r="G52" s="17"/>
      <c r="H52" s="61"/>
      <c r="I52" s="50"/>
      <c r="J52" s="51"/>
      <c r="K52" s="126"/>
      <c r="L52" s="126"/>
      <c r="M52" s="126"/>
      <c r="N52" s="126"/>
      <c r="O52" s="126"/>
      <c r="P52" s="126"/>
      <c r="Q52" s="126"/>
      <c r="R52" s="126"/>
      <c r="S52" s="126"/>
      <c r="T52" s="127"/>
      <c r="U52" s="126"/>
      <c r="V52" s="126"/>
      <c r="W52" s="17">
        <f t="shared" si="1"/>
        <v>0</v>
      </c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7">
        <f t="shared" si="2"/>
        <v>0</v>
      </c>
    </row>
    <row r="53" spans="1:36" ht="15" thickBot="1">
      <c r="A53" s="110" t="s">
        <v>114</v>
      </c>
      <c r="B53" s="103" t="s">
        <v>106</v>
      </c>
      <c r="C53" s="63"/>
      <c r="D53" s="63"/>
      <c r="E53" s="17">
        <v>6</v>
      </c>
      <c r="F53" s="49">
        <f t="shared" si="14"/>
        <v>6</v>
      </c>
      <c r="G53" s="17"/>
      <c r="H53" s="61"/>
      <c r="I53" s="50"/>
      <c r="J53" s="51"/>
      <c r="K53" s="126"/>
      <c r="L53" s="126"/>
      <c r="M53" s="126"/>
      <c r="N53" s="126"/>
      <c r="O53" s="126"/>
      <c r="P53" s="126"/>
      <c r="Q53" s="126"/>
      <c r="R53" s="126"/>
      <c r="S53" s="126"/>
      <c r="T53" s="127"/>
      <c r="U53" s="126"/>
      <c r="V53" s="126"/>
      <c r="W53" s="17">
        <f t="shared" si="1"/>
        <v>0</v>
      </c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7">
        <f t="shared" si="2"/>
        <v>0</v>
      </c>
    </row>
    <row r="54" spans="1:36" ht="15" thickBot="1">
      <c r="A54" s="110" t="s">
        <v>114</v>
      </c>
      <c r="B54" s="103" t="s">
        <v>107</v>
      </c>
      <c r="C54" s="63"/>
      <c r="D54" s="63"/>
      <c r="E54" s="17">
        <v>3</v>
      </c>
      <c r="F54" s="49">
        <f t="shared" si="14"/>
        <v>3</v>
      </c>
      <c r="G54" s="17"/>
      <c r="H54" s="61"/>
      <c r="I54" s="50"/>
      <c r="J54" s="51"/>
      <c r="K54" s="126"/>
      <c r="L54" s="126"/>
      <c r="M54" s="126"/>
      <c r="N54" s="126"/>
      <c r="O54" s="126"/>
      <c r="P54" s="126"/>
      <c r="Q54" s="126"/>
      <c r="R54" s="126"/>
      <c r="S54" s="126"/>
      <c r="T54" s="127"/>
      <c r="U54" s="126"/>
      <c r="V54" s="126"/>
      <c r="W54" s="17">
        <f t="shared" si="1"/>
        <v>0</v>
      </c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7">
        <f t="shared" si="2"/>
        <v>0</v>
      </c>
    </row>
    <row r="55" spans="1:36" ht="15" thickBot="1">
      <c r="A55" s="110" t="s">
        <v>114</v>
      </c>
      <c r="B55" s="103" t="s">
        <v>108</v>
      </c>
      <c r="C55" s="63"/>
      <c r="D55" s="63"/>
      <c r="E55" s="17">
        <v>2</v>
      </c>
      <c r="F55" s="49">
        <f t="shared" si="14"/>
        <v>2</v>
      </c>
      <c r="G55" s="17"/>
      <c r="H55" s="61"/>
      <c r="I55" s="50"/>
      <c r="J55" s="51"/>
      <c r="K55" s="126"/>
      <c r="L55" s="126"/>
      <c r="M55" s="126"/>
      <c r="N55" s="126"/>
      <c r="O55" s="126"/>
      <c r="P55" s="126"/>
      <c r="Q55" s="126"/>
      <c r="R55" s="126"/>
      <c r="S55" s="126"/>
      <c r="T55" s="127"/>
      <c r="U55" s="126"/>
      <c r="V55" s="126"/>
      <c r="W55" s="17">
        <f t="shared" si="1"/>
        <v>0</v>
      </c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7">
        <f t="shared" si="2"/>
        <v>0</v>
      </c>
    </row>
    <row r="56" spans="1:36" ht="15" thickBot="1">
      <c r="A56" s="110" t="s">
        <v>114</v>
      </c>
      <c r="B56" s="103" t="s">
        <v>109</v>
      </c>
      <c r="C56" s="63"/>
      <c r="D56" s="63"/>
      <c r="E56" s="17">
        <v>12</v>
      </c>
      <c r="F56" s="49">
        <f t="shared" si="14"/>
        <v>12</v>
      </c>
      <c r="G56" s="17"/>
      <c r="H56" s="61"/>
      <c r="I56" s="50"/>
      <c r="J56" s="51"/>
      <c r="K56" s="126"/>
      <c r="L56" s="126"/>
      <c r="M56" s="126"/>
      <c r="N56" s="126"/>
      <c r="O56" s="126"/>
      <c r="P56" s="126"/>
      <c r="Q56" s="126"/>
      <c r="R56" s="126"/>
      <c r="S56" s="126"/>
      <c r="T56" s="127"/>
      <c r="U56" s="126"/>
      <c r="V56" s="126"/>
      <c r="W56" s="17">
        <f t="shared" si="1"/>
        <v>0</v>
      </c>
      <c r="X56" s="121"/>
      <c r="Y56" s="121"/>
      <c r="Z56" s="121"/>
      <c r="AA56" s="121"/>
      <c r="AB56" s="121"/>
      <c r="AC56" s="121"/>
      <c r="AD56" s="121"/>
      <c r="AE56" s="121"/>
      <c r="AF56" s="121"/>
      <c r="AG56" s="126"/>
      <c r="AH56" s="126"/>
      <c r="AI56" s="126"/>
      <c r="AJ56" s="17">
        <f t="shared" si="2"/>
        <v>0</v>
      </c>
    </row>
    <row r="57" spans="1:36" ht="15" thickBot="1">
      <c r="A57" s="110" t="s">
        <v>114</v>
      </c>
      <c r="B57" s="103" t="s">
        <v>110</v>
      </c>
      <c r="C57" s="63"/>
      <c r="D57" s="63"/>
      <c r="E57" s="17">
        <v>7</v>
      </c>
      <c r="F57" s="49">
        <f t="shared" si="14"/>
        <v>7</v>
      </c>
      <c r="G57" s="17"/>
      <c r="H57" s="61"/>
      <c r="I57" s="50"/>
      <c r="J57" s="51"/>
      <c r="K57" s="126"/>
      <c r="L57" s="126"/>
      <c r="M57" s="126"/>
      <c r="N57" s="126"/>
      <c r="O57" s="126"/>
      <c r="P57" s="126"/>
      <c r="Q57" s="126"/>
      <c r="R57" s="126"/>
      <c r="S57" s="126"/>
      <c r="T57" s="127"/>
      <c r="U57" s="126"/>
      <c r="V57" s="126"/>
      <c r="W57" s="17">
        <f t="shared" si="1"/>
        <v>0</v>
      </c>
      <c r="X57" s="121"/>
      <c r="Y57" s="121"/>
      <c r="Z57" s="121"/>
      <c r="AA57" s="121"/>
      <c r="AB57" s="121"/>
      <c r="AC57" s="121"/>
      <c r="AD57" s="121"/>
      <c r="AE57" s="121"/>
      <c r="AF57" s="121"/>
      <c r="AG57" s="126"/>
      <c r="AH57" s="126"/>
      <c r="AI57" s="126"/>
      <c r="AJ57" s="17">
        <f t="shared" si="2"/>
        <v>0</v>
      </c>
    </row>
    <row r="58" spans="1:36" ht="15" thickBot="1">
      <c r="A58" s="110" t="s">
        <v>114</v>
      </c>
      <c r="B58" s="103" t="s">
        <v>111</v>
      </c>
      <c r="C58" s="63"/>
      <c r="D58" s="63"/>
      <c r="E58" s="17">
        <v>19</v>
      </c>
      <c r="F58" s="49">
        <f t="shared" si="14"/>
        <v>19</v>
      </c>
      <c r="G58" s="17"/>
      <c r="H58" s="61"/>
      <c r="I58" s="50"/>
      <c r="J58" s="51"/>
      <c r="K58" s="126"/>
      <c r="L58" s="126"/>
      <c r="M58" s="126"/>
      <c r="N58" s="126"/>
      <c r="O58" s="126"/>
      <c r="P58" s="126"/>
      <c r="Q58" s="126"/>
      <c r="R58" s="126"/>
      <c r="S58" s="126"/>
      <c r="T58" s="127"/>
      <c r="U58" s="126"/>
      <c r="V58" s="126"/>
      <c r="W58" s="17">
        <f t="shared" si="1"/>
        <v>0</v>
      </c>
      <c r="X58" s="121"/>
      <c r="Y58" s="121"/>
      <c r="Z58" s="121"/>
      <c r="AA58" s="121"/>
      <c r="AB58" s="121"/>
      <c r="AC58" s="121"/>
      <c r="AD58" s="121"/>
      <c r="AE58" s="121"/>
      <c r="AF58" s="121"/>
      <c r="AG58" s="126"/>
      <c r="AH58" s="126"/>
      <c r="AI58" s="126"/>
      <c r="AJ58" s="17">
        <f t="shared" si="2"/>
        <v>0</v>
      </c>
    </row>
    <row r="59" spans="1:36" ht="15" thickBot="1">
      <c r="A59" s="110" t="s">
        <v>114</v>
      </c>
      <c r="B59" s="103" t="s">
        <v>112</v>
      </c>
      <c r="C59" s="63"/>
      <c r="D59" s="63"/>
      <c r="E59" s="17">
        <v>7</v>
      </c>
      <c r="F59" s="49">
        <f t="shared" si="14"/>
        <v>7</v>
      </c>
      <c r="G59" s="17"/>
      <c r="H59" s="61"/>
      <c r="I59" s="50"/>
      <c r="J59" s="5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7">
        <f t="shared" si="1"/>
        <v>0</v>
      </c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7">
        <f t="shared" si="2"/>
        <v>0</v>
      </c>
    </row>
    <row r="60" spans="1:36" ht="15" thickBot="1">
      <c r="A60" s="110" t="s">
        <v>114</v>
      </c>
      <c r="B60" s="103" t="s">
        <v>113</v>
      </c>
      <c r="C60" s="63"/>
      <c r="D60" s="63"/>
      <c r="E60" s="17">
        <v>6</v>
      </c>
      <c r="F60" s="49">
        <f t="shared" si="14"/>
        <v>6</v>
      </c>
      <c r="G60" s="17"/>
      <c r="H60" s="61"/>
      <c r="I60" s="50"/>
      <c r="J60" s="51"/>
      <c r="K60" s="126"/>
      <c r="L60" s="126"/>
      <c r="M60" s="126"/>
      <c r="N60" s="126"/>
      <c r="O60" s="126"/>
      <c r="P60" s="126"/>
      <c r="Q60" s="126"/>
      <c r="R60" s="126"/>
      <c r="S60" s="126"/>
      <c r="T60" s="127"/>
      <c r="U60" s="126"/>
      <c r="V60" s="126"/>
      <c r="W60" s="17">
        <f t="shared" si="1"/>
        <v>0</v>
      </c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7">
        <f t="shared" si="2"/>
        <v>0</v>
      </c>
    </row>
    <row r="61" spans="1:37" ht="15" thickBot="1">
      <c r="A61" s="196" t="s">
        <v>203</v>
      </c>
      <c r="B61" s="197"/>
      <c r="C61" s="45">
        <f>+D61/Metas!R29</f>
        <v>0.9286539467565682</v>
      </c>
      <c r="D61" s="19">
        <f>+F61/AK61</f>
        <v>0.1578711709486166</v>
      </c>
      <c r="E61" s="14">
        <f aca="true" t="shared" si="15" ref="E61:J61">SUM(E48:E60)</f>
        <v>378</v>
      </c>
      <c r="F61" s="14">
        <f t="shared" si="15"/>
        <v>409</v>
      </c>
      <c r="G61" s="14">
        <f>SUM(G48:G60)</f>
        <v>0</v>
      </c>
      <c r="H61" s="14">
        <f t="shared" si="15"/>
        <v>0</v>
      </c>
      <c r="I61" s="14">
        <f>SUM(I48:I60)</f>
        <v>0</v>
      </c>
      <c r="J61" s="14">
        <f t="shared" si="15"/>
        <v>0</v>
      </c>
      <c r="K61" s="14">
        <f aca="true" t="shared" si="16" ref="K61:V61">SUM(K48:K60)</f>
        <v>9</v>
      </c>
      <c r="L61" s="14">
        <f t="shared" si="16"/>
        <v>22</v>
      </c>
      <c r="M61" s="14">
        <f t="shared" si="16"/>
        <v>0</v>
      </c>
      <c r="N61" s="14">
        <f t="shared" si="16"/>
        <v>0</v>
      </c>
      <c r="O61" s="14">
        <f t="shared" si="16"/>
        <v>0</v>
      </c>
      <c r="P61" s="14">
        <f t="shared" si="16"/>
        <v>0</v>
      </c>
      <c r="Q61" s="14">
        <f t="shared" si="16"/>
        <v>0</v>
      </c>
      <c r="R61" s="14">
        <f t="shared" si="16"/>
        <v>0</v>
      </c>
      <c r="S61" s="14">
        <f t="shared" si="16"/>
        <v>0</v>
      </c>
      <c r="T61" s="14">
        <f t="shared" si="16"/>
        <v>0</v>
      </c>
      <c r="U61" s="14">
        <f t="shared" si="16"/>
        <v>0</v>
      </c>
      <c r="V61" s="14">
        <f t="shared" si="16"/>
        <v>0</v>
      </c>
      <c r="W61" s="14">
        <f t="shared" si="1"/>
        <v>31</v>
      </c>
      <c r="X61" s="14">
        <f aca="true" t="shared" si="17" ref="X61:AI61">SUM(X48:X60)</f>
        <v>0</v>
      </c>
      <c r="Y61" s="14">
        <f t="shared" si="17"/>
        <v>0</v>
      </c>
      <c r="Z61" s="14">
        <f t="shared" si="17"/>
        <v>0</v>
      </c>
      <c r="AA61" s="14">
        <f t="shared" si="17"/>
        <v>0</v>
      </c>
      <c r="AB61" s="14">
        <f t="shared" si="17"/>
        <v>0</v>
      </c>
      <c r="AC61" s="14">
        <f t="shared" si="17"/>
        <v>0</v>
      </c>
      <c r="AD61" s="14">
        <f t="shared" si="17"/>
        <v>0</v>
      </c>
      <c r="AE61" s="14">
        <f t="shared" si="17"/>
        <v>0</v>
      </c>
      <c r="AF61" s="14">
        <f t="shared" si="17"/>
        <v>0</v>
      </c>
      <c r="AG61" s="14">
        <f t="shared" si="17"/>
        <v>0</v>
      </c>
      <c r="AH61" s="14">
        <f t="shared" si="17"/>
        <v>0</v>
      </c>
      <c r="AI61" s="14">
        <f t="shared" si="17"/>
        <v>0</v>
      </c>
      <c r="AJ61" s="14">
        <f t="shared" si="2"/>
        <v>0</v>
      </c>
      <c r="AK61" s="14">
        <f>11776*0.22</f>
        <v>2590.72</v>
      </c>
    </row>
    <row r="62" spans="1:36" ht="15" thickBot="1">
      <c r="A62" s="110" t="s">
        <v>125</v>
      </c>
      <c r="B62" s="103" t="s">
        <v>115</v>
      </c>
      <c r="C62" s="63"/>
      <c r="D62" s="63"/>
      <c r="E62" s="17">
        <v>48</v>
      </c>
      <c r="F62" s="49">
        <f aca="true" t="shared" si="18" ref="F62:F71">+E62+(K62+L62+M62)-(X62+Y62+Z62)</f>
        <v>63</v>
      </c>
      <c r="G62" s="17"/>
      <c r="H62" s="61"/>
      <c r="I62" s="50"/>
      <c r="J62" s="51"/>
      <c r="K62" s="126"/>
      <c r="L62" s="126">
        <v>15</v>
      </c>
      <c r="M62" s="126"/>
      <c r="N62" s="126"/>
      <c r="O62" s="126"/>
      <c r="P62" s="126"/>
      <c r="Q62" s="126"/>
      <c r="R62" s="126"/>
      <c r="S62" s="126"/>
      <c r="T62" s="127"/>
      <c r="U62" s="126"/>
      <c r="V62" s="126"/>
      <c r="W62" s="17">
        <f t="shared" si="1"/>
        <v>15</v>
      </c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7">
        <f t="shared" si="2"/>
        <v>0</v>
      </c>
    </row>
    <row r="63" spans="1:36" ht="15" thickBot="1">
      <c r="A63" s="110" t="s">
        <v>125</v>
      </c>
      <c r="B63" s="103" t="s">
        <v>116</v>
      </c>
      <c r="C63" s="63"/>
      <c r="D63" s="63"/>
      <c r="E63" s="17">
        <v>49</v>
      </c>
      <c r="F63" s="49">
        <f t="shared" si="18"/>
        <v>49</v>
      </c>
      <c r="G63" s="17"/>
      <c r="H63" s="61"/>
      <c r="I63" s="50"/>
      <c r="J63" s="51"/>
      <c r="K63" s="126"/>
      <c r="L63" s="126"/>
      <c r="M63" s="126"/>
      <c r="N63" s="126"/>
      <c r="O63" s="126"/>
      <c r="P63" s="126"/>
      <c r="Q63" s="126"/>
      <c r="R63" s="126"/>
      <c r="S63" s="126"/>
      <c r="T63" s="127"/>
      <c r="U63" s="126"/>
      <c r="V63" s="126"/>
      <c r="W63" s="17">
        <f t="shared" si="1"/>
        <v>0</v>
      </c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7">
        <f t="shared" si="2"/>
        <v>0</v>
      </c>
    </row>
    <row r="64" spans="1:36" ht="15" thickBot="1">
      <c r="A64" s="110" t="s">
        <v>125</v>
      </c>
      <c r="B64" s="103" t="s">
        <v>117</v>
      </c>
      <c r="C64" s="63"/>
      <c r="D64" s="63"/>
      <c r="E64" s="17">
        <v>13</v>
      </c>
      <c r="F64" s="49">
        <f t="shared" si="18"/>
        <v>16</v>
      </c>
      <c r="G64" s="17"/>
      <c r="H64" s="61"/>
      <c r="I64" s="50"/>
      <c r="J64" s="51"/>
      <c r="K64" s="126"/>
      <c r="L64" s="126">
        <v>3</v>
      </c>
      <c r="M64" s="126"/>
      <c r="N64" s="126"/>
      <c r="O64" s="126"/>
      <c r="P64" s="126"/>
      <c r="Q64" s="126"/>
      <c r="R64" s="126"/>
      <c r="S64" s="126"/>
      <c r="T64" s="127"/>
      <c r="U64" s="126"/>
      <c r="V64" s="126"/>
      <c r="W64" s="17">
        <f t="shared" si="1"/>
        <v>3</v>
      </c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7">
        <f t="shared" si="2"/>
        <v>0</v>
      </c>
    </row>
    <row r="65" spans="1:36" ht="15" thickBot="1">
      <c r="A65" s="110" t="s">
        <v>125</v>
      </c>
      <c r="B65" s="103" t="s">
        <v>118</v>
      </c>
      <c r="C65" s="63"/>
      <c r="D65" s="63"/>
      <c r="E65" s="17">
        <v>13</v>
      </c>
      <c r="F65" s="49">
        <f t="shared" si="18"/>
        <v>13</v>
      </c>
      <c r="G65" s="17"/>
      <c r="H65" s="61"/>
      <c r="I65" s="50"/>
      <c r="J65" s="51"/>
      <c r="K65" s="126"/>
      <c r="L65" s="126"/>
      <c r="M65" s="126"/>
      <c r="N65" s="126"/>
      <c r="O65" s="126"/>
      <c r="P65" s="126"/>
      <c r="Q65" s="126"/>
      <c r="R65" s="126"/>
      <c r="S65" s="126"/>
      <c r="T65" s="127"/>
      <c r="U65" s="126"/>
      <c r="V65" s="126"/>
      <c r="W65" s="17">
        <f t="shared" si="1"/>
        <v>0</v>
      </c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7">
        <f t="shared" si="2"/>
        <v>0</v>
      </c>
    </row>
    <row r="66" spans="1:36" ht="15" thickBot="1">
      <c r="A66" s="110" t="s">
        <v>125</v>
      </c>
      <c r="B66" s="103" t="s">
        <v>119</v>
      </c>
      <c r="C66" s="63"/>
      <c r="D66" s="63"/>
      <c r="E66" s="17">
        <v>7</v>
      </c>
      <c r="F66" s="49">
        <f t="shared" si="18"/>
        <v>7</v>
      </c>
      <c r="G66" s="17"/>
      <c r="H66" s="61"/>
      <c r="I66" s="50"/>
      <c r="J66" s="51"/>
      <c r="K66" s="121"/>
      <c r="L66" s="121"/>
      <c r="M66" s="121"/>
      <c r="N66" s="121"/>
      <c r="O66" s="121"/>
      <c r="P66" s="121"/>
      <c r="Q66" s="121"/>
      <c r="R66" s="121"/>
      <c r="S66" s="126"/>
      <c r="T66" s="127"/>
      <c r="U66" s="126"/>
      <c r="V66" s="126"/>
      <c r="W66" s="17">
        <f t="shared" si="1"/>
        <v>0</v>
      </c>
      <c r="X66" s="121"/>
      <c r="Y66" s="121"/>
      <c r="Z66" s="121"/>
      <c r="AA66" s="121"/>
      <c r="AB66" s="121"/>
      <c r="AC66" s="121"/>
      <c r="AD66" s="121"/>
      <c r="AE66" s="126"/>
      <c r="AF66" s="126"/>
      <c r="AG66" s="126"/>
      <c r="AH66" s="126"/>
      <c r="AI66" s="126"/>
      <c r="AJ66" s="17">
        <f t="shared" si="2"/>
        <v>0</v>
      </c>
    </row>
    <row r="67" spans="1:36" ht="15" thickBot="1">
      <c r="A67" s="110" t="s">
        <v>125</v>
      </c>
      <c r="B67" s="103" t="s">
        <v>120</v>
      </c>
      <c r="C67" s="63"/>
      <c r="D67" s="63"/>
      <c r="E67" s="17">
        <v>30</v>
      </c>
      <c r="F67" s="49">
        <f t="shared" si="18"/>
        <v>30</v>
      </c>
      <c r="G67" s="17"/>
      <c r="H67" s="61"/>
      <c r="I67" s="50"/>
      <c r="J67" s="51"/>
      <c r="K67" s="126"/>
      <c r="L67" s="126"/>
      <c r="M67" s="126"/>
      <c r="N67" s="126"/>
      <c r="O67" s="126"/>
      <c r="P67" s="126"/>
      <c r="Q67" s="126"/>
      <c r="R67" s="126"/>
      <c r="S67" s="126"/>
      <c r="T67" s="127"/>
      <c r="U67" s="126"/>
      <c r="V67" s="126"/>
      <c r="W67" s="17">
        <f t="shared" si="1"/>
        <v>0</v>
      </c>
      <c r="X67" s="121"/>
      <c r="Y67" s="121"/>
      <c r="Z67" s="121"/>
      <c r="AA67" s="121"/>
      <c r="AB67" s="121"/>
      <c r="AC67" s="121"/>
      <c r="AD67" s="121"/>
      <c r="AE67" s="126"/>
      <c r="AF67" s="126"/>
      <c r="AG67" s="126"/>
      <c r="AH67" s="126"/>
      <c r="AI67" s="126"/>
      <c r="AJ67" s="17">
        <f t="shared" si="2"/>
        <v>0</v>
      </c>
    </row>
    <row r="68" spans="1:36" ht="15" thickBot="1">
      <c r="A68" s="110" t="s">
        <v>125</v>
      </c>
      <c r="B68" s="103" t="s">
        <v>121</v>
      </c>
      <c r="C68" s="63"/>
      <c r="D68" s="63"/>
      <c r="E68" s="17">
        <v>9</v>
      </c>
      <c r="F68" s="49">
        <f t="shared" si="18"/>
        <v>9</v>
      </c>
      <c r="G68" s="17"/>
      <c r="H68" s="61"/>
      <c r="I68" s="50"/>
      <c r="J68" s="51"/>
      <c r="K68" s="126"/>
      <c r="L68" s="121"/>
      <c r="M68" s="121"/>
      <c r="N68" s="121"/>
      <c r="O68" s="121"/>
      <c r="P68" s="121"/>
      <c r="Q68" s="121"/>
      <c r="R68" s="121"/>
      <c r="S68" s="126"/>
      <c r="T68" s="127"/>
      <c r="U68" s="126"/>
      <c r="V68" s="126"/>
      <c r="W68" s="17">
        <f t="shared" si="1"/>
        <v>0</v>
      </c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7">
        <f t="shared" si="2"/>
        <v>0</v>
      </c>
    </row>
    <row r="69" spans="1:36" ht="15" thickBot="1">
      <c r="A69" s="110" t="s">
        <v>125</v>
      </c>
      <c r="B69" s="103" t="s">
        <v>122</v>
      </c>
      <c r="C69" s="63"/>
      <c r="D69" s="63"/>
      <c r="E69" s="17">
        <v>7</v>
      </c>
      <c r="F69" s="49">
        <f t="shared" si="18"/>
        <v>7</v>
      </c>
      <c r="G69" s="17"/>
      <c r="H69" s="61"/>
      <c r="I69" s="50"/>
      <c r="J69" s="51"/>
      <c r="K69" s="126"/>
      <c r="L69" s="126"/>
      <c r="M69" s="126"/>
      <c r="N69" s="126"/>
      <c r="O69" s="126"/>
      <c r="P69" s="126"/>
      <c r="Q69" s="126"/>
      <c r="R69" s="126"/>
      <c r="S69" s="126"/>
      <c r="T69" s="127"/>
      <c r="U69" s="126"/>
      <c r="V69" s="126"/>
      <c r="W69" s="17">
        <f t="shared" si="1"/>
        <v>0</v>
      </c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7">
        <f t="shared" si="2"/>
        <v>0</v>
      </c>
    </row>
    <row r="70" spans="1:36" ht="15" thickBot="1">
      <c r="A70" s="110" t="s">
        <v>125</v>
      </c>
      <c r="B70" s="103" t="s">
        <v>123</v>
      </c>
      <c r="C70" s="63"/>
      <c r="D70" s="63"/>
      <c r="E70" s="17">
        <v>5</v>
      </c>
      <c r="F70" s="49">
        <f t="shared" si="18"/>
        <v>5</v>
      </c>
      <c r="G70" s="17"/>
      <c r="H70" s="61"/>
      <c r="I70" s="50"/>
      <c r="J70" s="51"/>
      <c r="K70" s="126"/>
      <c r="L70" s="121"/>
      <c r="M70" s="121"/>
      <c r="N70" s="121"/>
      <c r="O70" s="121"/>
      <c r="P70" s="121"/>
      <c r="Q70" s="121"/>
      <c r="R70" s="121"/>
      <c r="S70" s="126"/>
      <c r="T70" s="127"/>
      <c r="U70" s="126"/>
      <c r="V70" s="126"/>
      <c r="W70" s="17">
        <f t="shared" si="1"/>
        <v>0</v>
      </c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7">
        <f t="shared" si="2"/>
        <v>0</v>
      </c>
    </row>
    <row r="71" spans="1:36" ht="15" thickBot="1">
      <c r="A71" s="110" t="s">
        <v>125</v>
      </c>
      <c r="B71" s="103" t="s">
        <v>124</v>
      </c>
      <c r="C71" s="63"/>
      <c r="D71" s="63"/>
      <c r="E71" s="17">
        <v>13</v>
      </c>
      <c r="F71" s="49">
        <f t="shared" si="18"/>
        <v>13</v>
      </c>
      <c r="G71" s="17"/>
      <c r="H71" s="61"/>
      <c r="I71" s="50"/>
      <c r="J71" s="51"/>
      <c r="K71" s="126"/>
      <c r="L71" s="126"/>
      <c r="M71" s="126"/>
      <c r="N71" s="126"/>
      <c r="O71" s="126"/>
      <c r="P71" s="126"/>
      <c r="Q71" s="126"/>
      <c r="R71" s="126"/>
      <c r="S71" s="126"/>
      <c r="T71" s="127"/>
      <c r="U71" s="126"/>
      <c r="V71" s="126"/>
      <c r="W71" s="17">
        <f t="shared" si="1"/>
        <v>0</v>
      </c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7">
        <f t="shared" si="2"/>
        <v>0</v>
      </c>
    </row>
    <row r="72" spans="1:37" ht="15" thickBot="1">
      <c r="A72" s="196" t="s">
        <v>23</v>
      </c>
      <c r="B72" s="197"/>
      <c r="C72" s="45">
        <f>+D72/Metas!R26</f>
        <v>0.7147577241035186</v>
      </c>
      <c r="D72" s="19">
        <f>+F72/AK72</f>
        <v>0.10721365861552778</v>
      </c>
      <c r="E72" s="14">
        <f aca="true" t="shared" si="19" ref="E72:J72">SUM(E62:E71)</f>
        <v>194</v>
      </c>
      <c r="F72" s="14">
        <f t="shared" si="19"/>
        <v>212</v>
      </c>
      <c r="G72" s="14">
        <f t="shared" si="19"/>
        <v>0</v>
      </c>
      <c r="H72" s="14">
        <f t="shared" si="19"/>
        <v>0</v>
      </c>
      <c r="I72" s="14">
        <f>SUM(I62:I71)</f>
        <v>0</v>
      </c>
      <c r="J72" s="14">
        <f t="shared" si="19"/>
        <v>0</v>
      </c>
      <c r="K72" s="14">
        <f aca="true" t="shared" si="20" ref="K72:V72">SUM(K62:K71)</f>
        <v>0</v>
      </c>
      <c r="L72" s="14">
        <f t="shared" si="20"/>
        <v>18</v>
      </c>
      <c r="M72" s="14">
        <f t="shared" si="20"/>
        <v>0</v>
      </c>
      <c r="N72" s="14">
        <f t="shared" si="20"/>
        <v>0</v>
      </c>
      <c r="O72" s="14">
        <f t="shared" si="20"/>
        <v>0</v>
      </c>
      <c r="P72" s="14">
        <f t="shared" si="20"/>
        <v>0</v>
      </c>
      <c r="Q72" s="14">
        <f t="shared" si="20"/>
        <v>0</v>
      </c>
      <c r="R72" s="14">
        <f t="shared" si="20"/>
        <v>0</v>
      </c>
      <c r="S72" s="14">
        <f t="shared" si="20"/>
        <v>0</v>
      </c>
      <c r="T72" s="14">
        <f t="shared" si="20"/>
        <v>0</v>
      </c>
      <c r="U72" s="14">
        <f t="shared" si="20"/>
        <v>0</v>
      </c>
      <c r="V72" s="14">
        <f t="shared" si="20"/>
        <v>0</v>
      </c>
      <c r="W72" s="14">
        <f t="shared" si="1"/>
        <v>18</v>
      </c>
      <c r="X72" s="14">
        <f aca="true" t="shared" si="21" ref="X72:AI72">SUM(X62:X71)</f>
        <v>0</v>
      </c>
      <c r="Y72" s="14">
        <f t="shared" si="21"/>
        <v>0</v>
      </c>
      <c r="Z72" s="14">
        <f t="shared" si="21"/>
        <v>0</v>
      </c>
      <c r="AA72" s="14">
        <f t="shared" si="21"/>
        <v>0</v>
      </c>
      <c r="AB72" s="14">
        <f t="shared" si="21"/>
        <v>0</v>
      </c>
      <c r="AC72" s="14">
        <f t="shared" si="21"/>
        <v>0</v>
      </c>
      <c r="AD72" s="14">
        <f t="shared" si="21"/>
        <v>0</v>
      </c>
      <c r="AE72" s="14">
        <f t="shared" si="21"/>
        <v>0</v>
      </c>
      <c r="AF72" s="14">
        <f t="shared" si="21"/>
        <v>0</v>
      </c>
      <c r="AG72" s="14">
        <f t="shared" si="21"/>
        <v>0</v>
      </c>
      <c r="AH72" s="14">
        <f t="shared" si="21"/>
        <v>0</v>
      </c>
      <c r="AI72" s="14">
        <f t="shared" si="21"/>
        <v>0</v>
      </c>
      <c r="AJ72" s="14">
        <f t="shared" si="2"/>
        <v>0</v>
      </c>
      <c r="AK72" s="14">
        <f>8988*0.22</f>
        <v>1977.36</v>
      </c>
    </row>
    <row r="73" spans="1:36" ht="15" thickBot="1">
      <c r="A73" s="110" t="s">
        <v>131</v>
      </c>
      <c r="B73" s="103" t="s">
        <v>126</v>
      </c>
      <c r="C73" s="63"/>
      <c r="D73" s="63"/>
      <c r="E73" s="17">
        <v>74</v>
      </c>
      <c r="F73" s="49">
        <f>+E73+(K73+L73+M73)-(X73+Y73+Z73)</f>
        <v>75</v>
      </c>
      <c r="G73" s="17"/>
      <c r="H73" s="61"/>
      <c r="I73" s="50"/>
      <c r="J73" s="51"/>
      <c r="K73" s="126">
        <v>1</v>
      </c>
      <c r="L73" s="126"/>
      <c r="M73" s="126"/>
      <c r="N73" s="126"/>
      <c r="O73" s="126"/>
      <c r="P73" s="126"/>
      <c r="Q73" s="126"/>
      <c r="R73" s="126"/>
      <c r="S73" s="126"/>
      <c r="T73" s="127"/>
      <c r="U73" s="126"/>
      <c r="V73" s="126"/>
      <c r="W73" s="17">
        <f t="shared" si="1"/>
        <v>1</v>
      </c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7">
        <f t="shared" si="2"/>
        <v>0</v>
      </c>
    </row>
    <row r="74" spans="1:36" ht="15" thickBot="1">
      <c r="A74" s="110" t="s">
        <v>131</v>
      </c>
      <c r="B74" s="103" t="s">
        <v>127</v>
      </c>
      <c r="C74" s="63"/>
      <c r="D74" s="63"/>
      <c r="E74" s="17">
        <v>47</v>
      </c>
      <c r="F74" s="49">
        <f>+E74+(K74+L74+M74)-(X74+Y74+Z74)</f>
        <v>48</v>
      </c>
      <c r="G74" s="17"/>
      <c r="H74" s="61"/>
      <c r="I74" s="50"/>
      <c r="J74" s="51"/>
      <c r="K74" s="126">
        <v>1</v>
      </c>
      <c r="L74" s="126"/>
      <c r="M74" s="126"/>
      <c r="N74" s="126"/>
      <c r="O74" s="126"/>
      <c r="P74" s="126"/>
      <c r="Q74" s="126"/>
      <c r="R74" s="126"/>
      <c r="S74" s="126"/>
      <c r="T74" s="127"/>
      <c r="U74" s="126"/>
      <c r="V74" s="126"/>
      <c r="W74" s="17">
        <f t="shared" si="1"/>
        <v>1</v>
      </c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7">
        <f t="shared" si="2"/>
        <v>0</v>
      </c>
    </row>
    <row r="75" spans="1:36" ht="15" thickBot="1">
      <c r="A75" s="110" t="s">
        <v>131</v>
      </c>
      <c r="B75" s="103" t="s">
        <v>128</v>
      </c>
      <c r="C75" s="63"/>
      <c r="D75" s="63"/>
      <c r="E75" s="17">
        <v>81</v>
      </c>
      <c r="F75" s="49">
        <f>+E75+(K75+L75+M75)-(X75+Y75+Z75)</f>
        <v>84</v>
      </c>
      <c r="G75" s="17"/>
      <c r="H75" s="61"/>
      <c r="I75" s="50"/>
      <c r="J75" s="51"/>
      <c r="K75" s="126">
        <v>2</v>
      </c>
      <c r="L75" s="126">
        <v>1</v>
      </c>
      <c r="M75" s="126"/>
      <c r="N75" s="126"/>
      <c r="O75" s="126"/>
      <c r="P75" s="126"/>
      <c r="Q75" s="126"/>
      <c r="R75" s="126"/>
      <c r="S75" s="126"/>
      <c r="T75" s="127"/>
      <c r="U75" s="126"/>
      <c r="V75" s="126"/>
      <c r="W75" s="17">
        <f t="shared" si="1"/>
        <v>3</v>
      </c>
      <c r="X75" s="126"/>
      <c r="Y75" s="126"/>
      <c r="Z75" s="126"/>
      <c r="AA75" s="126"/>
      <c r="AB75" s="133"/>
      <c r="AC75" s="126"/>
      <c r="AD75" s="126"/>
      <c r="AE75" s="126"/>
      <c r="AF75" s="126"/>
      <c r="AG75" s="126"/>
      <c r="AH75" s="126"/>
      <c r="AI75" s="126"/>
      <c r="AJ75" s="17">
        <f t="shared" si="2"/>
        <v>0</v>
      </c>
    </row>
    <row r="76" spans="1:36" ht="15" thickBot="1">
      <c r="A76" s="110" t="s">
        <v>131</v>
      </c>
      <c r="B76" s="103" t="s">
        <v>129</v>
      </c>
      <c r="C76" s="63"/>
      <c r="D76" s="63"/>
      <c r="E76" s="17">
        <v>20</v>
      </c>
      <c r="F76" s="49">
        <f>+E76+(K76+L76+M76)-(X76+Y76+Z76)</f>
        <v>20</v>
      </c>
      <c r="G76" s="17"/>
      <c r="H76" s="61"/>
      <c r="I76" s="50"/>
      <c r="J76" s="51"/>
      <c r="K76" s="126"/>
      <c r="L76" s="126"/>
      <c r="M76" s="126"/>
      <c r="N76" s="126"/>
      <c r="O76" s="126"/>
      <c r="P76" s="126"/>
      <c r="Q76" s="126"/>
      <c r="R76" s="126"/>
      <c r="S76" s="126"/>
      <c r="T76" s="127"/>
      <c r="U76" s="126"/>
      <c r="V76" s="126"/>
      <c r="W76" s="17">
        <f>SUM(K76:V76)</f>
        <v>0</v>
      </c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7">
        <f aca="true" t="shared" si="22" ref="AJ76:AJ139">SUM(X76:AI76)</f>
        <v>0</v>
      </c>
    </row>
    <row r="77" spans="1:36" ht="15" thickBot="1">
      <c r="A77" s="110" t="s">
        <v>131</v>
      </c>
      <c r="B77" s="103" t="s">
        <v>130</v>
      </c>
      <c r="C77" s="63"/>
      <c r="D77" s="63"/>
      <c r="E77" s="17">
        <v>24</v>
      </c>
      <c r="F77" s="49">
        <f>+E77+(K77+L77+M77)-(X77+Y77+Z77)</f>
        <v>24</v>
      </c>
      <c r="G77" s="17"/>
      <c r="H77" s="61"/>
      <c r="I77" s="50"/>
      <c r="J77" s="51"/>
      <c r="K77" s="126"/>
      <c r="L77" s="126"/>
      <c r="M77" s="126"/>
      <c r="N77" s="126"/>
      <c r="O77" s="126"/>
      <c r="P77" s="126"/>
      <c r="Q77" s="126"/>
      <c r="R77" s="126"/>
      <c r="S77" s="126"/>
      <c r="T77" s="127"/>
      <c r="U77" s="126"/>
      <c r="V77" s="126"/>
      <c r="W77" s="17">
        <f>SUM(K77:V77)</f>
        <v>0</v>
      </c>
      <c r="X77" s="126"/>
      <c r="Y77" s="126"/>
      <c r="Z77" s="126"/>
      <c r="AA77" s="126"/>
      <c r="AB77" s="133"/>
      <c r="AC77" s="126"/>
      <c r="AD77" s="126"/>
      <c r="AE77" s="126"/>
      <c r="AF77" s="126"/>
      <c r="AG77" s="126"/>
      <c r="AH77" s="126"/>
      <c r="AI77" s="126"/>
      <c r="AJ77" s="17">
        <f t="shared" si="22"/>
        <v>0</v>
      </c>
    </row>
    <row r="78" spans="1:37" ht="15" thickBot="1">
      <c r="A78" s="196" t="s">
        <v>204</v>
      </c>
      <c r="B78" s="197"/>
      <c r="C78" s="45">
        <f>+D78/Metas!R31</f>
        <v>1.0658119788773899</v>
      </c>
      <c r="D78" s="19">
        <f>+F78/AK78</f>
        <v>0.2025042759867041</v>
      </c>
      <c r="E78" s="14">
        <f aca="true" t="shared" si="23" ref="E78:K78">SUM(E73:E77)</f>
        <v>246</v>
      </c>
      <c r="F78" s="14">
        <f t="shared" si="23"/>
        <v>251</v>
      </c>
      <c r="G78" s="14">
        <f t="shared" si="23"/>
        <v>0</v>
      </c>
      <c r="H78" s="14">
        <f t="shared" si="23"/>
        <v>0</v>
      </c>
      <c r="I78" s="14">
        <f>SUM(I73:I77)</f>
        <v>0</v>
      </c>
      <c r="J78" s="14">
        <f t="shared" si="23"/>
        <v>0</v>
      </c>
      <c r="K78" s="14">
        <f t="shared" si="23"/>
        <v>4</v>
      </c>
      <c r="L78" s="14">
        <f aca="true" t="shared" si="24" ref="L78:V78">SUM(L73:L77)</f>
        <v>1</v>
      </c>
      <c r="M78" s="14">
        <f t="shared" si="24"/>
        <v>0</v>
      </c>
      <c r="N78" s="14">
        <f t="shared" si="24"/>
        <v>0</v>
      </c>
      <c r="O78" s="14">
        <f t="shared" si="24"/>
        <v>0</v>
      </c>
      <c r="P78" s="14">
        <f t="shared" si="24"/>
        <v>0</v>
      </c>
      <c r="Q78" s="14">
        <f t="shared" si="24"/>
        <v>0</v>
      </c>
      <c r="R78" s="14">
        <f t="shared" si="24"/>
        <v>0</v>
      </c>
      <c r="S78" s="14">
        <f t="shared" si="24"/>
        <v>0</v>
      </c>
      <c r="T78" s="14">
        <f t="shared" si="24"/>
        <v>0</v>
      </c>
      <c r="U78" s="14">
        <f t="shared" si="24"/>
        <v>0</v>
      </c>
      <c r="V78" s="14">
        <f t="shared" si="24"/>
        <v>0</v>
      </c>
      <c r="W78" s="14">
        <f aca="true" t="shared" si="25" ref="W78:W141">SUM(K78:V78)</f>
        <v>5</v>
      </c>
      <c r="X78" s="14">
        <f aca="true" t="shared" si="26" ref="X78:AI78">SUM(X73:X77)</f>
        <v>0</v>
      </c>
      <c r="Y78" s="14">
        <f t="shared" si="26"/>
        <v>0</v>
      </c>
      <c r="Z78" s="14">
        <f t="shared" si="26"/>
        <v>0</v>
      </c>
      <c r="AA78" s="14">
        <f t="shared" si="26"/>
        <v>0</v>
      </c>
      <c r="AB78" s="14">
        <f t="shared" si="26"/>
        <v>0</v>
      </c>
      <c r="AC78" s="14">
        <f t="shared" si="26"/>
        <v>0</v>
      </c>
      <c r="AD78" s="14">
        <f t="shared" si="26"/>
        <v>0</v>
      </c>
      <c r="AE78" s="14">
        <f t="shared" si="26"/>
        <v>0</v>
      </c>
      <c r="AF78" s="14">
        <f t="shared" si="26"/>
        <v>0</v>
      </c>
      <c r="AG78" s="14">
        <f t="shared" si="26"/>
        <v>0</v>
      </c>
      <c r="AH78" s="14">
        <f t="shared" si="26"/>
        <v>0</v>
      </c>
      <c r="AI78" s="14">
        <f t="shared" si="26"/>
        <v>0</v>
      </c>
      <c r="AJ78" s="14">
        <f t="shared" si="22"/>
        <v>0</v>
      </c>
      <c r="AK78" s="14">
        <f>5634*0.22</f>
        <v>1239.48</v>
      </c>
    </row>
    <row r="79" spans="1:36" ht="15" thickBot="1">
      <c r="A79" s="110" t="s">
        <v>142</v>
      </c>
      <c r="B79" s="103" t="s">
        <v>132</v>
      </c>
      <c r="C79" s="63"/>
      <c r="D79" s="63"/>
      <c r="E79" s="17">
        <v>266</v>
      </c>
      <c r="F79" s="49">
        <f>+E79+(K79+L79+M79)-(X79+Y79+Z79)</f>
        <v>328</v>
      </c>
      <c r="G79" s="17"/>
      <c r="H79" s="61"/>
      <c r="I79" s="50"/>
      <c r="J79" s="51"/>
      <c r="K79" s="126">
        <v>43</v>
      </c>
      <c r="L79" s="126">
        <v>26</v>
      </c>
      <c r="M79" s="126"/>
      <c r="N79" s="126"/>
      <c r="O79" s="126"/>
      <c r="P79" s="126"/>
      <c r="Q79" s="126"/>
      <c r="R79" s="126"/>
      <c r="S79" s="126"/>
      <c r="T79" s="127"/>
      <c r="U79" s="126"/>
      <c r="V79" s="126"/>
      <c r="W79" s="17">
        <f t="shared" si="25"/>
        <v>69</v>
      </c>
      <c r="X79" s="126">
        <v>1</v>
      </c>
      <c r="Y79" s="126">
        <v>6</v>
      </c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7">
        <f t="shared" si="22"/>
        <v>7</v>
      </c>
    </row>
    <row r="80" spans="1:36" ht="15" thickBot="1">
      <c r="A80" s="110" t="s">
        <v>142</v>
      </c>
      <c r="B80" s="103" t="s">
        <v>133</v>
      </c>
      <c r="C80" s="63"/>
      <c r="D80" s="63"/>
      <c r="E80" s="17">
        <v>42</v>
      </c>
      <c r="F80" s="49">
        <f aca="true" t="shared" si="27" ref="F80:F88">+E80+(K80+L80+M80)-(X80+Y80+Z80)</f>
        <v>43</v>
      </c>
      <c r="G80" s="17"/>
      <c r="H80" s="61"/>
      <c r="I80" s="50"/>
      <c r="J80" s="51"/>
      <c r="K80" s="126"/>
      <c r="L80" s="126">
        <v>1</v>
      </c>
      <c r="M80" s="126"/>
      <c r="N80" s="126"/>
      <c r="O80" s="126"/>
      <c r="P80" s="126"/>
      <c r="Q80" s="126"/>
      <c r="R80" s="126"/>
      <c r="S80" s="126"/>
      <c r="T80" s="127"/>
      <c r="U80" s="126"/>
      <c r="V80" s="126"/>
      <c r="W80" s="17">
        <f t="shared" si="25"/>
        <v>1</v>
      </c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7">
        <f t="shared" si="22"/>
        <v>0</v>
      </c>
    </row>
    <row r="81" spans="1:36" ht="15" thickBot="1">
      <c r="A81" s="110" t="s">
        <v>142</v>
      </c>
      <c r="B81" s="103" t="s">
        <v>134</v>
      </c>
      <c r="C81" s="63"/>
      <c r="D81" s="63"/>
      <c r="E81" s="17">
        <v>11</v>
      </c>
      <c r="F81" s="49">
        <f t="shared" si="27"/>
        <v>11</v>
      </c>
      <c r="G81" s="17"/>
      <c r="H81" s="61"/>
      <c r="I81" s="50"/>
      <c r="J81" s="51"/>
      <c r="K81" s="126">
        <v>1</v>
      </c>
      <c r="L81" s="126"/>
      <c r="M81" s="126"/>
      <c r="N81" s="126"/>
      <c r="O81" s="126"/>
      <c r="P81" s="126"/>
      <c r="Q81" s="126"/>
      <c r="R81" s="126"/>
      <c r="S81" s="126"/>
      <c r="T81" s="127"/>
      <c r="U81" s="126"/>
      <c r="V81" s="126"/>
      <c r="W81" s="17">
        <f t="shared" si="25"/>
        <v>1</v>
      </c>
      <c r="X81" s="126"/>
      <c r="Y81" s="126">
        <v>1</v>
      </c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7">
        <f t="shared" si="22"/>
        <v>1</v>
      </c>
    </row>
    <row r="82" spans="1:36" ht="15" thickBot="1">
      <c r="A82" s="110" t="s">
        <v>142</v>
      </c>
      <c r="B82" s="103" t="s">
        <v>135</v>
      </c>
      <c r="C82" s="63"/>
      <c r="D82" s="63"/>
      <c r="E82" s="17">
        <v>32</v>
      </c>
      <c r="F82" s="49">
        <f t="shared" si="27"/>
        <v>42</v>
      </c>
      <c r="G82" s="17"/>
      <c r="H82" s="61"/>
      <c r="I82" s="50"/>
      <c r="J82" s="51"/>
      <c r="K82" s="126">
        <v>7</v>
      </c>
      <c r="L82" s="126">
        <v>4</v>
      </c>
      <c r="M82" s="126"/>
      <c r="N82" s="126"/>
      <c r="O82" s="126"/>
      <c r="P82" s="126"/>
      <c r="Q82" s="126"/>
      <c r="R82" s="126"/>
      <c r="S82" s="126"/>
      <c r="T82" s="127"/>
      <c r="U82" s="126"/>
      <c r="V82" s="126"/>
      <c r="W82" s="17">
        <f t="shared" si="25"/>
        <v>11</v>
      </c>
      <c r="X82" s="126"/>
      <c r="Y82" s="126">
        <v>1</v>
      </c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7">
        <f t="shared" si="22"/>
        <v>1</v>
      </c>
    </row>
    <row r="83" spans="1:36" ht="15" thickBot="1">
      <c r="A83" s="110" t="s">
        <v>142</v>
      </c>
      <c r="B83" s="103" t="s">
        <v>136</v>
      </c>
      <c r="C83" s="63"/>
      <c r="D83" s="63"/>
      <c r="E83" s="17">
        <v>38</v>
      </c>
      <c r="F83" s="49">
        <f t="shared" si="27"/>
        <v>39</v>
      </c>
      <c r="G83" s="17"/>
      <c r="H83" s="61"/>
      <c r="I83" s="50"/>
      <c r="J83" s="51"/>
      <c r="K83" s="126">
        <v>1</v>
      </c>
      <c r="L83" s="126">
        <v>1</v>
      </c>
      <c r="M83" s="126"/>
      <c r="N83" s="126"/>
      <c r="O83" s="126"/>
      <c r="P83" s="126"/>
      <c r="Q83" s="126"/>
      <c r="R83" s="126"/>
      <c r="S83" s="126"/>
      <c r="T83" s="127"/>
      <c r="U83" s="126"/>
      <c r="V83" s="126"/>
      <c r="W83" s="17">
        <f t="shared" si="25"/>
        <v>2</v>
      </c>
      <c r="X83" s="126">
        <v>1</v>
      </c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7">
        <f t="shared" si="22"/>
        <v>1</v>
      </c>
    </row>
    <row r="84" spans="1:36" ht="15" thickBot="1">
      <c r="A84" s="110" t="s">
        <v>142</v>
      </c>
      <c r="B84" s="103" t="s">
        <v>137</v>
      </c>
      <c r="C84" s="63"/>
      <c r="D84" s="63"/>
      <c r="E84" s="17">
        <v>23</v>
      </c>
      <c r="F84" s="49">
        <f t="shared" si="27"/>
        <v>27</v>
      </c>
      <c r="G84" s="17"/>
      <c r="H84" s="61"/>
      <c r="I84" s="50"/>
      <c r="J84" s="51"/>
      <c r="K84" s="126">
        <v>4</v>
      </c>
      <c r="L84" s="126"/>
      <c r="M84" s="126"/>
      <c r="N84" s="126"/>
      <c r="O84" s="126"/>
      <c r="P84" s="126"/>
      <c r="Q84" s="126"/>
      <c r="R84" s="126"/>
      <c r="S84" s="126"/>
      <c r="T84" s="127"/>
      <c r="U84" s="126"/>
      <c r="V84" s="126"/>
      <c r="W84" s="17">
        <f t="shared" si="25"/>
        <v>4</v>
      </c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7">
        <f t="shared" si="22"/>
        <v>0</v>
      </c>
    </row>
    <row r="85" spans="1:36" ht="15" thickBot="1">
      <c r="A85" s="110" t="s">
        <v>142</v>
      </c>
      <c r="B85" s="103" t="s">
        <v>138</v>
      </c>
      <c r="C85" s="63"/>
      <c r="D85" s="63"/>
      <c r="E85" s="17">
        <v>15</v>
      </c>
      <c r="F85" s="49">
        <f t="shared" si="27"/>
        <v>18</v>
      </c>
      <c r="G85" s="17"/>
      <c r="H85" s="61"/>
      <c r="I85" s="50"/>
      <c r="J85" s="51"/>
      <c r="K85" s="126">
        <v>3</v>
      </c>
      <c r="L85" s="126"/>
      <c r="M85" s="126"/>
      <c r="N85" s="126"/>
      <c r="O85" s="126"/>
      <c r="P85" s="126"/>
      <c r="Q85" s="126"/>
      <c r="R85" s="126"/>
      <c r="S85" s="126"/>
      <c r="T85" s="127"/>
      <c r="U85" s="126"/>
      <c r="V85" s="126"/>
      <c r="W85" s="17">
        <f t="shared" si="25"/>
        <v>3</v>
      </c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7">
        <f t="shared" si="22"/>
        <v>0</v>
      </c>
    </row>
    <row r="86" spans="1:36" ht="15" thickBot="1">
      <c r="A86" s="110" t="s">
        <v>142</v>
      </c>
      <c r="B86" s="103" t="s">
        <v>139</v>
      </c>
      <c r="C86" s="63"/>
      <c r="D86" s="63"/>
      <c r="E86" s="17">
        <v>67</v>
      </c>
      <c r="F86" s="49">
        <f t="shared" si="27"/>
        <v>66</v>
      </c>
      <c r="G86" s="17"/>
      <c r="H86" s="61"/>
      <c r="I86" s="50"/>
      <c r="J86" s="51"/>
      <c r="K86" s="126"/>
      <c r="L86" s="126">
        <v>1</v>
      </c>
      <c r="M86" s="126"/>
      <c r="N86" s="126"/>
      <c r="O86" s="126"/>
      <c r="P86" s="126"/>
      <c r="Q86" s="126"/>
      <c r="R86" s="126"/>
      <c r="S86" s="126"/>
      <c r="T86" s="127"/>
      <c r="U86" s="126"/>
      <c r="V86" s="126"/>
      <c r="W86" s="17">
        <f t="shared" si="25"/>
        <v>1</v>
      </c>
      <c r="X86" s="126"/>
      <c r="Y86" s="126">
        <v>2</v>
      </c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7">
        <f t="shared" si="22"/>
        <v>2</v>
      </c>
    </row>
    <row r="87" spans="1:36" ht="15" thickBot="1">
      <c r="A87" s="110" t="s">
        <v>142</v>
      </c>
      <c r="B87" s="103" t="s">
        <v>140</v>
      </c>
      <c r="C87" s="63"/>
      <c r="D87" s="63"/>
      <c r="E87" s="17">
        <v>38</v>
      </c>
      <c r="F87" s="49">
        <f t="shared" si="27"/>
        <v>39</v>
      </c>
      <c r="G87" s="17"/>
      <c r="H87" s="61"/>
      <c r="I87" s="50"/>
      <c r="J87" s="51"/>
      <c r="K87" s="126"/>
      <c r="L87" s="126">
        <v>3</v>
      </c>
      <c r="M87" s="126"/>
      <c r="N87" s="126"/>
      <c r="O87" s="126"/>
      <c r="P87" s="126"/>
      <c r="Q87" s="126"/>
      <c r="R87" s="126"/>
      <c r="S87" s="126"/>
      <c r="T87" s="127"/>
      <c r="U87" s="126"/>
      <c r="V87" s="126"/>
      <c r="W87" s="17">
        <f t="shared" si="25"/>
        <v>3</v>
      </c>
      <c r="X87" s="126"/>
      <c r="Y87" s="126">
        <v>2</v>
      </c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7">
        <f t="shared" si="22"/>
        <v>2</v>
      </c>
    </row>
    <row r="88" spans="1:36" ht="15" thickBot="1">
      <c r="A88" s="110" t="s">
        <v>142</v>
      </c>
      <c r="B88" s="103" t="s">
        <v>141</v>
      </c>
      <c r="C88" s="63"/>
      <c r="D88" s="63"/>
      <c r="E88" s="17">
        <v>49</v>
      </c>
      <c r="F88" s="49">
        <f t="shared" si="27"/>
        <v>45</v>
      </c>
      <c r="G88" s="17"/>
      <c r="H88" s="61"/>
      <c r="I88" s="50"/>
      <c r="J88" s="51"/>
      <c r="K88" s="126">
        <v>1</v>
      </c>
      <c r="L88" s="126"/>
      <c r="M88" s="126"/>
      <c r="N88" s="126"/>
      <c r="O88" s="126"/>
      <c r="P88" s="126"/>
      <c r="Q88" s="126"/>
      <c r="R88" s="126"/>
      <c r="S88" s="126"/>
      <c r="T88" s="127"/>
      <c r="U88" s="126"/>
      <c r="V88" s="126"/>
      <c r="W88" s="17">
        <f t="shared" si="25"/>
        <v>1</v>
      </c>
      <c r="X88" s="126">
        <v>2</v>
      </c>
      <c r="Y88" s="126">
        <v>3</v>
      </c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7">
        <f t="shared" si="22"/>
        <v>5</v>
      </c>
    </row>
    <row r="89" spans="1:37" ht="22.5" customHeight="1" thickBot="1">
      <c r="A89" s="196" t="s">
        <v>205</v>
      </c>
      <c r="B89" s="197"/>
      <c r="C89" s="45">
        <f>+D89/Metas!R36</f>
        <v>1.1496863697517166</v>
      </c>
      <c r="D89" s="19">
        <f>+F89/AK89</f>
        <v>0.25293100134537766</v>
      </c>
      <c r="E89" s="14">
        <f aca="true" t="shared" si="28" ref="E89:K89">SUM(E79:E88)</f>
        <v>581</v>
      </c>
      <c r="F89" s="14">
        <f>SUM(F79:F88)</f>
        <v>658</v>
      </c>
      <c r="G89" s="14">
        <f t="shared" si="28"/>
        <v>0</v>
      </c>
      <c r="H89" s="14">
        <f t="shared" si="28"/>
        <v>0</v>
      </c>
      <c r="I89" s="14">
        <f>SUM(I79:I88)</f>
        <v>0</v>
      </c>
      <c r="J89" s="14">
        <f>SUM(J79:J88)</f>
        <v>0</v>
      </c>
      <c r="K89" s="14">
        <f t="shared" si="28"/>
        <v>60</v>
      </c>
      <c r="L89" s="14">
        <f aca="true" t="shared" si="29" ref="L89:V89">SUM(L79:L88)</f>
        <v>36</v>
      </c>
      <c r="M89" s="14">
        <f t="shared" si="29"/>
        <v>0</v>
      </c>
      <c r="N89" s="14">
        <f t="shared" si="29"/>
        <v>0</v>
      </c>
      <c r="O89" s="14">
        <f t="shared" si="29"/>
        <v>0</v>
      </c>
      <c r="P89" s="14">
        <f t="shared" si="29"/>
        <v>0</v>
      </c>
      <c r="Q89" s="14">
        <f t="shared" si="29"/>
        <v>0</v>
      </c>
      <c r="R89" s="14">
        <f t="shared" si="29"/>
        <v>0</v>
      </c>
      <c r="S89" s="14">
        <f t="shared" si="29"/>
        <v>0</v>
      </c>
      <c r="T89" s="14">
        <f t="shared" si="29"/>
        <v>0</v>
      </c>
      <c r="U89" s="14">
        <f t="shared" si="29"/>
        <v>0</v>
      </c>
      <c r="V89" s="14">
        <f t="shared" si="29"/>
        <v>0</v>
      </c>
      <c r="W89" s="14">
        <f t="shared" si="25"/>
        <v>96</v>
      </c>
      <c r="X89" s="14">
        <f aca="true" t="shared" si="30" ref="X89:AI89">SUM(X79:X88)</f>
        <v>4</v>
      </c>
      <c r="Y89" s="14">
        <f t="shared" si="30"/>
        <v>15</v>
      </c>
      <c r="Z89" s="14">
        <f t="shared" si="30"/>
        <v>0</v>
      </c>
      <c r="AA89" s="14">
        <f t="shared" si="30"/>
        <v>0</v>
      </c>
      <c r="AB89" s="14">
        <f t="shared" si="30"/>
        <v>0</v>
      </c>
      <c r="AC89" s="14">
        <f t="shared" si="30"/>
        <v>0</v>
      </c>
      <c r="AD89" s="14">
        <f t="shared" si="30"/>
        <v>0</v>
      </c>
      <c r="AE89" s="14">
        <f t="shared" si="30"/>
        <v>0</v>
      </c>
      <c r="AF89" s="14">
        <f t="shared" si="30"/>
        <v>0</v>
      </c>
      <c r="AG89" s="14">
        <f t="shared" si="30"/>
        <v>0</v>
      </c>
      <c r="AH89" s="14">
        <f t="shared" si="30"/>
        <v>0</v>
      </c>
      <c r="AI89" s="14">
        <f t="shared" si="30"/>
        <v>0</v>
      </c>
      <c r="AJ89" s="14">
        <f t="shared" si="22"/>
        <v>19</v>
      </c>
      <c r="AK89" s="14">
        <f>11825*0.22</f>
        <v>2601.5</v>
      </c>
    </row>
    <row r="90" spans="1:36" ht="15" thickBot="1">
      <c r="A90" s="110" t="s">
        <v>159</v>
      </c>
      <c r="B90" s="103" t="s">
        <v>143</v>
      </c>
      <c r="C90" s="63"/>
      <c r="D90" s="63"/>
      <c r="E90" s="17">
        <v>159</v>
      </c>
      <c r="F90" s="49">
        <f aca="true" t="shared" si="31" ref="F90:F105">+E90+(K90+L90+M90)-(X90+Y90+Z90)</f>
        <v>170</v>
      </c>
      <c r="G90" s="17"/>
      <c r="H90" s="61"/>
      <c r="I90" s="50"/>
      <c r="J90" s="51"/>
      <c r="K90" s="126"/>
      <c r="L90" s="126">
        <v>12</v>
      </c>
      <c r="M90" s="126"/>
      <c r="N90" s="126"/>
      <c r="O90" s="126"/>
      <c r="P90" s="126"/>
      <c r="Q90" s="126"/>
      <c r="R90" s="126"/>
      <c r="S90" s="126"/>
      <c r="T90" s="127"/>
      <c r="U90" s="126"/>
      <c r="V90" s="126"/>
      <c r="W90" s="17">
        <f t="shared" si="25"/>
        <v>12</v>
      </c>
      <c r="X90" s="126"/>
      <c r="Y90" s="126">
        <v>1</v>
      </c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7">
        <f t="shared" si="22"/>
        <v>1</v>
      </c>
    </row>
    <row r="91" spans="1:36" ht="15" thickBot="1">
      <c r="A91" s="110" t="s">
        <v>159</v>
      </c>
      <c r="B91" s="103" t="s">
        <v>144</v>
      </c>
      <c r="C91" s="63"/>
      <c r="D91" s="63"/>
      <c r="E91" s="17">
        <v>752</v>
      </c>
      <c r="F91" s="49">
        <f t="shared" si="31"/>
        <v>845</v>
      </c>
      <c r="G91" s="17"/>
      <c r="H91" s="61"/>
      <c r="I91" s="50"/>
      <c r="J91" s="51"/>
      <c r="K91" s="126">
        <v>63</v>
      </c>
      <c r="L91" s="126">
        <v>33</v>
      </c>
      <c r="M91" s="126"/>
      <c r="N91" s="126"/>
      <c r="O91" s="126"/>
      <c r="P91" s="126"/>
      <c r="Q91" s="126"/>
      <c r="R91" s="126"/>
      <c r="S91" s="126"/>
      <c r="T91" s="127"/>
      <c r="U91" s="126"/>
      <c r="V91" s="126"/>
      <c r="W91" s="17">
        <f t="shared" si="25"/>
        <v>96</v>
      </c>
      <c r="X91" s="126">
        <v>3</v>
      </c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7">
        <f t="shared" si="22"/>
        <v>3</v>
      </c>
    </row>
    <row r="92" spans="1:36" ht="15" thickBot="1">
      <c r="A92" s="110" t="s">
        <v>159</v>
      </c>
      <c r="B92" s="103" t="s">
        <v>145</v>
      </c>
      <c r="C92" s="63"/>
      <c r="D92" s="63"/>
      <c r="E92" s="17">
        <v>1124</v>
      </c>
      <c r="F92" s="49">
        <f t="shared" si="31"/>
        <v>1286</v>
      </c>
      <c r="G92" s="17"/>
      <c r="H92" s="61"/>
      <c r="I92" s="50"/>
      <c r="J92" s="51"/>
      <c r="K92" s="126">
        <v>59</v>
      </c>
      <c r="L92" s="126">
        <v>105</v>
      </c>
      <c r="M92" s="126"/>
      <c r="N92" s="126"/>
      <c r="O92" s="126"/>
      <c r="P92" s="126"/>
      <c r="Q92" s="126"/>
      <c r="R92" s="126"/>
      <c r="S92" s="126"/>
      <c r="T92" s="127"/>
      <c r="U92" s="126"/>
      <c r="V92" s="126"/>
      <c r="W92" s="17">
        <f t="shared" si="25"/>
        <v>164</v>
      </c>
      <c r="X92" s="126"/>
      <c r="Y92" s="126">
        <v>2</v>
      </c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7">
        <f t="shared" si="22"/>
        <v>2</v>
      </c>
    </row>
    <row r="93" spans="1:36" ht="15" thickBot="1">
      <c r="A93" s="110" t="s">
        <v>159</v>
      </c>
      <c r="B93" s="103" t="s">
        <v>146</v>
      </c>
      <c r="C93" s="63"/>
      <c r="D93" s="63"/>
      <c r="E93" s="17">
        <v>186</v>
      </c>
      <c r="F93" s="49">
        <f t="shared" si="31"/>
        <v>202</v>
      </c>
      <c r="G93" s="17"/>
      <c r="H93" s="61"/>
      <c r="I93" s="50"/>
      <c r="J93" s="51"/>
      <c r="K93" s="126">
        <v>14</v>
      </c>
      <c r="L93" s="126">
        <v>13</v>
      </c>
      <c r="M93" s="126"/>
      <c r="N93" s="126"/>
      <c r="O93" s="126"/>
      <c r="P93" s="126"/>
      <c r="Q93" s="126"/>
      <c r="R93" s="126"/>
      <c r="S93" s="126"/>
      <c r="T93" s="127"/>
      <c r="U93" s="126"/>
      <c r="V93" s="126"/>
      <c r="W93" s="17">
        <f t="shared" si="25"/>
        <v>27</v>
      </c>
      <c r="X93" s="126">
        <v>8</v>
      </c>
      <c r="Y93" s="126">
        <v>3</v>
      </c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7">
        <f t="shared" si="22"/>
        <v>11</v>
      </c>
    </row>
    <row r="94" spans="1:36" ht="15" thickBot="1">
      <c r="A94" s="110" t="s">
        <v>159</v>
      </c>
      <c r="B94" s="103" t="s">
        <v>147</v>
      </c>
      <c r="C94" s="63"/>
      <c r="D94" s="63"/>
      <c r="E94" s="17">
        <v>65</v>
      </c>
      <c r="F94" s="49">
        <f t="shared" si="31"/>
        <v>65</v>
      </c>
      <c r="G94" s="17"/>
      <c r="H94" s="61"/>
      <c r="I94" s="50"/>
      <c r="J94" s="51"/>
      <c r="K94" s="126"/>
      <c r="L94" s="126"/>
      <c r="M94" s="126"/>
      <c r="N94" s="126"/>
      <c r="O94" s="126"/>
      <c r="P94" s="126"/>
      <c r="Q94" s="126"/>
      <c r="R94" s="126"/>
      <c r="S94" s="126"/>
      <c r="T94" s="127"/>
      <c r="U94" s="126"/>
      <c r="V94" s="126"/>
      <c r="W94" s="17">
        <f t="shared" si="25"/>
        <v>0</v>
      </c>
      <c r="X94" s="121"/>
      <c r="Y94" s="121"/>
      <c r="Z94" s="121"/>
      <c r="AA94" s="121"/>
      <c r="AB94" s="121"/>
      <c r="AC94" s="121"/>
      <c r="AD94" s="121"/>
      <c r="AE94" s="121"/>
      <c r="AF94" s="121"/>
      <c r="AG94" s="126"/>
      <c r="AH94" s="126"/>
      <c r="AI94" s="126"/>
      <c r="AJ94" s="17">
        <f t="shared" si="22"/>
        <v>0</v>
      </c>
    </row>
    <row r="95" spans="1:36" ht="15" thickBot="1">
      <c r="A95" s="110" t="s">
        <v>159</v>
      </c>
      <c r="B95" s="103" t="s">
        <v>148</v>
      </c>
      <c r="C95" s="63"/>
      <c r="D95" s="63"/>
      <c r="E95" s="17">
        <v>50</v>
      </c>
      <c r="F95" s="49">
        <f t="shared" si="31"/>
        <v>50</v>
      </c>
      <c r="G95" s="17"/>
      <c r="H95" s="61"/>
      <c r="I95" s="50"/>
      <c r="J95" s="51"/>
      <c r="K95" s="126"/>
      <c r="L95" s="126"/>
      <c r="M95" s="126"/>
      <c r="N95" s="126"/>
      <c r="O95" s="126"/>
      <c r="P95" s="126"/>
      <c r="Q95" s="126"/>
      <c r="R95" s="126"/>
      <c r="S95" s="126"/>
      <c r="T95" s="127"/>
      <c r="U95" s="126"/>
      <c r="V95" s="126"/>
      <c r="W95" s="17">
        <f t="shared" si="25"/>
        <v>0</v>
      </c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7">
        <f t="shared" si="22"/>
        <v>0</v>
      </c>
    </row>
    <row r="96" spans="1:36" ht="15" thickBot="1">
      <c r="A96" s="110" t="s">
        <v>159</v>
      </c>
      <c r="B96" s="103" t="s">
        <v>149</v>
      </c>
      <c r="C96" s="63"/>
      <c r="D96" s="63"/>
      <c r="E96" s="17">
        <v>50</v>
      </c>
      <c r="F96" s="49">
        <f t="shared" si="31"/>
        <v>50</v>
      </c>
      <c r="G96" s="17"/>
      <c r="H96" s="61"/>
      <c r="I96" s="50"/>
      <c r="J96" s="51"/>
      <c r="K96" s="126"/>
      <c r="L96" s="126"/>
      <c r="M96" s="126"/>
      <c r="N96" s="126"/>
      <c r="O96" s="126"/>
      <c r="P96" s="126"/>
      <c r="Q96" s="126"/>
      <c r="R96" s="126"/>
      <c r="S96" s="126"/>
      <c r="T96" s="127"/>
      <c r="U96" s="126"/>
      <c r="V96" s="126"/>
      <c r="W96" s="17">
        <f t="shared" si="25"/>
        <v>0</v>
      </c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7">
        <f t="shared" si="22"/>
        <v>0</v>
      </c>
    </row>
    <row r="97" spans="1:36" ht="15" thickBot="1">
      <c r="A97" s="110" t="s">
        <v>159</v>
      </c>
      <c r="B97" s="103" t="s">
        <v>150</v>
      </c>
      <c r="C97" s="63"/>
      <c r="D97" s="63"/>
      <c r="E97" s="17">
        <v>44</v>
      </c>
      <c r="F97" s="49">
        <f t="shared" si="31"/>
        <v>44</v>
      </c>
      <c r="G97" s="17"/>
      <c r="H97" s="61"/>
      <c r="I97" s="50"/>
      <c r="J97" s="51"/>
      <c r="K97" s="126"/>
      <c r="L97" s="126"/>
      <c r="M97" s="126"/>
      <c r="N97" s="126"/>
      <c r="O97" s="126"/>
      <c r="P97" s="126"/>
      <c r="Q97" s="126"/>
      <c r="R97" s="126"/>
      <c r="S97" s="126"/>
      <c r="T97" s="127"/>
      <c r="U97" s="126"/>
      <c r="V97" s="126"/>
      <c r="W97" s="17">
        <f t="shared" si="25"/>
        <v>0</v>
      </c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7">
        <f t="shared" si="22"/>
        <v>0</v>
      </c>
    </row>
    <row r="98" spans="1:36" ht="15" thickBot="1">
      <c r="A98" s="110" t="s">
        <v>159</v>
      </c>
      <c r="B98" s="103" t="s">
        <v>151</v>
      </c>
      <c r="C98" s="63"/>
      <c r="D98" s="63"/>
      <c r="E98" s="17">
        <v>57</v>
      </c>
      <c r="F98" s="49">
        <f t="shared" si="31"/>
        <v>57</v>
      </c>
      <c r="G98" s="17"/>
      <c r="H98" s="61"/>
      <c r="I98" s="50"/>
      <c r="J98" s="51"/>
      <c r="K98" s="126"/>
      <c r="L98" s="126"/>
      <c r="M98" s="126"/>
      <c r="N98" s="126"/>
      <c r="O98" s="126"/>
      <c r="P98" s="126"/>
      <c r="Q98" s="126"/>
      <c r="R98" s="126"/>
      <c r="S98" s="126"/>
      <c r="T98" s="127"/>
      <c r="U98" s="126"/>
      <c r="V98" s="126"/>
      <c r="W98" s="17">
        <f t="shared" si="25"/>
        <v>0</v>
      </c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7">
        <f t="shared" si="22"/>
        <v>0</v>
      </c>
    </row>
    <row r="99" spans="1:36" ht="15" thickBot="1">
      <c r="A99" s="110" t="s">
        <v>159</v>
      </c>
      <c r="B99" s="103" t="s">
        <v>152</v>
      </c>
      <c r="C99" s="63"/>
      <c r="D99" s="63"/>
      <c r="E99" s="17">
        <v>8</v>
      </c>
      <c r="F99" s="49">
        <f t="shared" si="31"/>
        <v>8</v>
      </c>
      <c r="G99" s="17"/>
      <c r="H99" s="61"/>
      <c r="I99" s="50"/>
      <c r="J99" s="51"/>
      <c r="K99" s="126"/>
      <c r="L99" s="126"/>
      <c r="M99" s="126"/>
      <c r="N99" s="126"/>
      <c r="O99" s="126"/>
      <c r="P99" s="126"/>
      <c r="Q99" s="126"/>
      <c r="R99" s="126"/>
      <c r="S99" s="126"/>
      <c r="T99" s="127"/>
      <c r="U99" s="126"/>
      <c r="V99" s="126"/>
      <c r="W99" s="17">
        <f t="shared" si="25"/>
        <v>0</v>
      </c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7">
        <f t="shared" si="22"/>
        <v>0</v>
      </c>
    </row>
    <row r="100" spans="1:36" ht="15" thickBot="1">
      <c r="A100" s="110" t="s">
        <v>159</v>
      </c>
      <c r="B100" s="103" t="s">
        <v>153</v>
      </c>
      <c r="C100" s="63"/>
      <c r="D100" s="63"/>
      <c r="E100" s="17">
        <v>26</v>
      </c>
      <c r="F100" s="49">
        <f t="shared" si="31"/>
        <v>26</v>
      </c>
      <c r="G100" s="17"/>
      <c r="H100" s="61"/>
      <c r="I100" s="50"/>
      <c r="J100" s="51"/>
      <c r="K100" s="126"/>
      <c r="L100" s="126"/>
      <c r="M100" s="126"/>
      <c r="N100" s="126"/>
      <c r="O100" s="126"/>
      <c r="P100" s="126"/>
      <c r="Q100" s="126"/>
      <c r="R100" s="126"/>
      <c r="S100" s="126"/>
      <c r="T100" s="127"/>
      <c r="U100" s="126"/>
      <c r="V100" s="126"/>
      <c r="W100" s="17">
        <f t="shared" si="25"/>
        <v>0</v>
      </c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7">
        <f t="shared" si="22"/>
        <v>0</v>
      </c>
    </row>
    <row r="101" spans="1:36" ht="15" thickBot="1">
      <c r="A101" s="110" t="s">
        <v>159</v>
      </c>
      <c r="B101" s="103" t="s">
        <v>154</v>
      </c>
      <c r="C101" s="63"/>
      <c r="D101" s="63"/>
      <c r="E101" s="17">
        <v>8</v>
      </c>
      <c r="F101" s="49">
        <f t="shared" si="31"/>
        <v>8</v>
      </c>
      <c r="G101" s="17"/>
      <c r="H101" s="61"/>
      <c r="I101" s="50"/>
      <c r="J101" s="51"/>
      <c r="K101" s="126"/>
      <c r="L101" s="126"/>
      <c r="M101" s="126"/>
      <c r="N101" s="126"/>
      <c r="O101" s="126"/>
      <c r="P101" s="126"/>
      <c r="Q101" s="126"/>
      <c r="R101" s="126"/>
      <c r="S101" s="126"/>
      <c r="T101" s="127"/>
      <c r="U101" s="126"/>
      <c r="V101" s="126"/>
      <c r="W101" s="17">
        <f t="shared" si="25"/>
        <v>0</v>
      </c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7">
        <f t="shared" si="22"/>
        <v>0</v>
      </c>
    </row>
    <row r="102" spans="1:36" ht="15" thickBot="1">
      <c r="A102" s="110" t="s">
        <v>159</v>
      </c>
      <c r="B102" s="103" t="s">
        <v>155</v>
      </c>
      <c r="C102" s="63"/>
      <c r="D102" s="63"/>
      <c r="E102" s="17">
        <v>66</v>
      </c>
      <c r="F102" s="49">
        <f t="shared" si="31"/>
        <v>68</v>
      </c>
      <c r="G102" s="17"/>
      <c r="H102" s="61"/>
      <c r="I102" s="50"/>
      <c r="J102" s="51"/>
      <c r="K102" s="126">
        <v>2</v>
      </c>
      <c r="L102" s="126">
        <v>3</v>
      </c>
      <c r="M102" s="126"/>
      <c r="N102" s="126"/>
      <c r="O102" s="126"/>
      <c r="P102" s="126"/>
      <c r="Q102" s="126"/>
      <c r="R102" s="126"/>
      <c r="S102" s="126"/>
      <c r="T102" s="127"/>
      <c r="U102" s="126"/>
      <c r="V102" s="126"/>
      <c r="W102" s="17">
        <f t="shared" si="25"/>
        <v>5</v>
      </c>
      <c r="X102" s="126"/>
      <c r="Y102" s="126">
        <v>3</v>
      </c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7">
        <f t="shared" si="22"/>
        <v>3</v>
      </c>
    </row>
    <row r="103" spans="1:36" ht="15" thickBot="1">
      <c r="A103" s="110" t="s">
        <v>159</v>
      </c>
      <c r="B103" s="103" t="s">
        <v>156</v>
      </c>
      <c r="C103" s="63"/>
      <c r="D103" s="63"/>
      <c r="E103" s="17">
        <v>59</v>
      </c>
      <c r="F103" s="49">
        <f t="shared" si="31"/>
        <v>59</v>
      </c>
      <c r="G103" s="17"/>
      <c r="H103" s="61"/>
      <c r="I103" s="50"/>
      <c r="J103" s="51"/>
      <c r="K103" s="126"/>
      <c r="L103" s="126"/>
      <c r="M103" s="126"/>
      <c r="N103" s="126"/>
      <c r="O103" s="126"/>
      <c r="P103" s="126"/>
      <c r="Q103" s="126"/>
      <c r="R103" s="126"/>
      <c r="S103" s="126"/>
      <c r="T103" s="127"/>
      <c r="U103" s="126"/>
      <c r="V103" s="126"/>
      <c r="W103" s="17">
        <f t="shared" si="25"/>
        <v>0</v>
      </c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7">
        <f t="shared" si="22"/>
        <v>0</v>
      </c>
    </row>
    <row r="104" spans="1:36" ht="15" thickBot="1">
      <c r="A104" s="110" t="s">
        <v>159</v>
      </c>
      <c r="B104" s="103" t="s">
        <v>157</v>
      </c>
      <c r="C104" s="63"/>
      <c r="D104" s="63"/>
      <c r="E104" s="17">
        <v>305</v>
      </c>
      <c r="F104" s="49">
        <f t="shared" si="31"/>
        <v>326</v>
      </c>
      <c r="G104" s="17"/>
      <c r="H104" s="61"/>
      <c r="I104" s="50"/>
      <c r="J104" s="51"/>
      <c r="K104" s="126">
        <v>15</v>
      </c>
      <c r="L104" s="126">
        <v>8</v>
      </c>
      <c r="M104" s="126"/>
      <c r="N104" s="126"/>
      <c r="O104" s="126"/>
      <c r="P104" s="126"/>
      <c r="Q104" s="126"/>
      <c r="R104" s="126"/>
      <c r="S104" s="126"/>
      <c r="T104" s="127"/>
      <c r="U104" s="126"/>
      <c r="V104" s="126"/>
      <c r="W104" s="17">
        <f t="shared" si="25"/>
        <v>23</v>
      </c>
      <c r="X104" s="126">
        <v>2</v>
      </c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7">
        <f t="shared" si="22"/>
        <v>2</v>
      </c>
    </row>
    <row r="105" spans="1:36" ht="15" thickBot="1">
      <c r="A105" s="110" t="s">
        <v>159</v>
      </c>
      <c r="B105" s="103" t="s">
        <v>158</v>
      </c>
      <c r="C105" s="63"/>
      <c r="D105" s="63"/>
      <c r="E105" s="17">
        <v>181</v>
      </c>
      <c r="F105" s="49">
        <f t="shared" si="31"/>
        <v>146</v>
      </c>
      <c r="G105" s="17"/>
      <c r="H105" s="61"/>
      <c r="I105" s="50"/>
      <c r="J105" s="51"/>
      <c r="K105" s="126">
        <v>10</v>
      </c>
      <c r="L105" s="126">
        <v>1</v>
      </c>
      <c r="M105" s="126"/>
      <c r="N105" s="126"/>
      <c r="O105" s="126"/>
      <c r="P105" s="126"/>
      <c r="Q105" s="126"/>
      <c r="R105" s="126"/>
      <c r="S105" s="126"/>
      <c r="T105" s="127"/>
      <c r="U105" s="126"/>
      <c r="V105" s="126"/>
      <c r="W105" s="17">
        <f t="shared" si="25"/>
        <v>11</v>
      </c>
      <c r="X105" s="126">
        <v>23</v>
      </c>
      <c r="Y105" s="126">
        <v>23</v>
      </c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7">
        <f>SUM(X105:AI105)</f>
        <v>46</v>
      </c>
    </row>
    <row r="106" spans="1:37" ht="22.5" customHeight="1" thickBot="1">
      <c r="A106" s="196" t="s">
        <v>206</v>
      </c>
      <c r="B106" s="197"/>
      <c r="C106" s="45">
        <f>+D106/Metas!R33</f>
        <v>1.086352400102888</v>
      </c>
      <c r="D106" s="19">
        <f>+F106/AK106</f>
        <v>0.18467990801749096</v>
      </c>
      <c r="E106" s="14">
        <f aca="true" t="shared" si="32" ref="E106:K106">SUM(E90:E105)</f>
        <v>3140</v>
      </c>
      <c r="F106" s="14">
        <f t="shared" si="32"/>
        <v>3410</v>
      </c>
      <c r="G106" s="14">
        <f t="shared" si="32"/>
        <v>0</v>
      </c>
      <c r="H106" s="14">
        <f t="shared" si="32"/>
        <v>0</v>
      </c>
      <c r="I106" s="14">
        <f>SUM(I90:I105)</f>
        <v>0</v>
      </c>
      <c r="J106" s="14">
        <f t="shared" si="32"/>
        <v>0</v>
      </c>
      <c r="K106" s="14">
        <f t="shared" si="32"/>
        <v>163</v>
      </c>
      <c r="L106" s="14">
        <f aca="true" t="shared" si="33" ref="L106:V106">SUM(L90:L105)</f>
        <v>175</v>
      </c>
      <c r="M106" s="14">
        <f t="shared" si="33"/>
        <v>0</v>
      </c>
      <c r="N106" s="14">
        <f t="shared" si="33"/>
        <v>0</v>
      </c>
      <c r="O106" s="14">
        <f t="shared" si="33"/>
        <v>0</v>
      </c>
      <c r="P106" s="14">
        <f t="shared" si="33"/>
        <v>0</v>
      </c>
      <c r="Q106" s="14">
        <f t="shared" si="33"/>
        <v>0</v>
      </c>
      <c r="R106" s="14">
        <f t="shared" si="33"/>
        <v>0</v>
      </c>
      <c r="S106" s="14">
        <f t="shared" si="33"/>
        <v>0</v>
      </c>
      <c r="T106" s="14">
        <f t="shared" si="33"/>
        <v>0</v>
      </c>
      <c r="U106" s="14">
        <f t="shared" si="33"/>
        <v>0</v>
      </c>
      <c r="V106" s="14">
        <f t="shared" si="33"/>
        <v>0</v>
      </c>
      <c r="W106" s="14">
        <f t="shared" si="25"/>
        <v>338</v>
      </c>
      <c r="X106" s="14">
        <f aca="true" t="shared" si="34" ref="X106:AI106">SUM(X90:X105)</f>
        <v>36</v>
      </c>
      <c r="Y106" s="14">
        <f t="shared" si="34"/>
        <v>32</v>
      </c>
      <c r="Z106" s="14">
        <f t="shared" si="34"/>
        <v>0</v>
      </c>
      <c r="AA106" s="14">
        <f t="shared" si="34"/>
        <v>0</v>
      </c>
      <c r="AB106" s="14">
        <f t="shared" si="34"/>
        <v>0</v>
      </c>
      <c r="AC106" s="14">
        <f t="shared" si="34"/>
        <v>0</v>
      </c>
      <c r="AD106" s="14">
        <f t="shared" si="34"/>
        <v>0</v>
      </c>
      <c r="AE106" s="14">
        <f t="shared" si="34"/>
        <v>0</v>
      </c>
      <c r="AF106" s="14">
        <f t="shared" si="34"/>
        <v>0</v>
      </c>
      <c r="AG106" s="14">
        <f t="shared" si="34"/>
        <v>0</v>
      </c>
      <c r="AH106" s="14">
        <f t="shared" si="34"/>
        <v>0</v>
      </c>
      <c r="AI106" s="14">
        <f t="shared" si="34"/>
        <v>0</v>
      </c>
      <c r="AJ106" s="14">
        <f t="shared" si="22"/>
        <v>68</v>
      </c>
      <c r="AK106" s="14">
        <f>83929*0.22</f>
        <v>18464.38</v>
      </c>
    </row>
    <row r="107" spans="1:36" ht="15" thickBot="1">
      <c r="A107" s="110" t="s">
        <v>172</v>
      </c>
      <c r="B107" s="103" t="s">
        <v>160</v>
      </c>
      <c r="C107" s="63"/>
      <c r="D107" s="63"/>
      <c r="E107" s="17">
        <v>6</v>
      </c>
      <c r="F107" s="49">
        <f aca="true" t="shared" si="35" ref="F107:F118">+E107+(K107+L107+M107)-(X107+Y107+Z107)</f>
        <v>6</v>
      </c>
      <c r="G107" s="17"/>
      <c r="H107" s="61"/>
      <c r="I107" s="50"/>
      <c r="J107" s="51"/>
      <c r="K107" s="126"/>
      <c r="L107" s="126"/>
      <c r="M107" s="126"/>
      <c r="N107" s="126"/>
      <c r="O107" s="126"/>
      <c r="P107" s="126"/>
      <c r="Q107" s="126"/>
      <c r="R107" s="126"/>
      <c r="S107" s="126"/>
      <c r="T107" s="127"/>
      <c r="U107" s="126"/>
      <c r="V107" s="126"/>
      <c r="W107" s="17">
        <f t="shared" si="25"/>
        <v>0</v>
      </c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7">
        <f t="shared" si="22"/>
        <v>0</v>
      </c>
    </row>
    <row r="108" spans="1:36" ht="15" thickBot="1">
      <c r="A108" s="110" t="s">
        <v>172</v>
      </c>
      <c r="B108" s="103" t="s">
        <v>161</v>
      </c>
      <c r="C108" s="63"/>
      <c r="D108" s="63"/>
      <c r="E108" s="17">
        <v>24</v>
      </c>
      <c r="F108" s="49">
        <f t="shared" si="35"/>
        <v>24</v>
      </c>
      <c r="G108" s="17"/>
      <c r="H108" s="61"/>
      <c r="I108" s="50"/>
      <c r="J108" s="51"/>
      <c r="K108" s="126"/>
      <c r="L108" s="126"/>
      <c r="M108" s="126"/>
      <c r="N108" s="126"/>
      <c r="O108" s="126"/>
      <c r="P108" s="126"/>
      <c r="Q108" s="126"/>
      <c r="R108" s="126"/>
      <c r="S108" s="126"/>
      <c r="T108" s="127"/>
      <c r="U108" s="126"/>
      <c r="V108" s="126"/>
      <c r="W108" s="17">
        <f t="shared" si="25"/>
        <v>0</v>
      </c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7">
        <f t="shared" si="22"/>
        <v>0</v>
      </c>
    </row>
    <row r="109" spans="1:36" ht="15" thickBot="1">
      <c r="A109" s="110" t="s">
        <v>172</v>
      </c>
      <c r="B109" s="103" t="s">
        <v>162</v>
      </c>
      <c r="C109" s="63"/>
      <c r="D109" s="63"/>
      <c r="E109" s="17">
        <v>21</v>
      </c>
      <c r="F109" s="49">
        <f t="shared" si="35"/>
        <v>21</v>
      </c>
      <c r="G109" s="17"/>
      <c r="H109" s="61"/>
      <c r="I109" s="50"/>
      <c r="J109" s="51"/>
      <c r="K109" s="126"/>
      <c r="L109" s="126"/>
      <c r="M109" s="126"/>
      <c r="N109" s="126"/>
      <c r="O109" s="126"/>
      <c r="P109" s="126"/>
      <c r="Q109" s="126"/>
      <c r="R109" s="126"/>
      <c r="S109" s="126"/>
      <c r="T109" s="127"/>
      <c r="U109" s="126"/>
      <c r="V109" s="126"/>
      <c r="W109" s="17">
        <f t="shared" si="25"/>
        <v>0</v>
      </c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7">
        <f t="shared" si="22"/>
        <v>0</v>
      </c>
    </row>
    <row r="110" spans="1:36" ht="15" thickBot="1">
      <c r="A110" s="110" t="s">
        <v>172</v>
      </c>
      <c r="B110" s="103" t="s">
        <v>163</v>
      </c>
      <c r="C110" s="63"/>
      <c r="D110" s="63"/>
      <c r="E110" s="17">
        <v>14</v>
      </c>
      <c r="F110" s="49">
        <f t="shared" si="35"/>
        <v>15</v>
      </c>
      <c r="G110" s="17"/>
      <c r="H110" s="61"/>
      <c r="I110" s="50"/>
      <c r="J110" s="51"/>
      <c r="K110" s="126"/>
      <c r="L110" s="126">
        <v>1</v>
      </c>
      <c r="M110" s="126"/>
      <c r="N110" s="126"/>
      <c r="O110" s="126"/>
      <c r="P110" s="126"/>
      <c r="Q110" s="126"/>
      <c r="R110" s="126"/>
      <c r="S110" s="126"/>
      <c r="T110" s="127"/>
      <c r="U110" s="126"/>
      <c r="V110" s="126"/>
      <c r="W110" s="17">
        <f t="shared" si="25"/>
        <v>1</v>
      </c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7">
        <f t="shared" si="22"/>
        <v>0</v>
      </c>
    </row>
    <row r="111" spans="1:36" ht="15" thickBot="1">
      <c r="A111" s="110" t="s">
        <v>172</v>
      </c>
      <c r="B111" s="103" t="s">
        <v>164</v>
      </c>
      <c r="C111" s="63"/>
      <c r="D111" s="63"/>
      <c r="E111" s="17">
        <v>37</v>
      </c>
      <c r="F111" s="49">
        <f t="shared" si="35"/>
        <v>37</v>
      </c>
      <c r="G111" s="17"/>
      <c r="H111" s="61"/>
      <c r="I111" s="50"/>
      <c r="J111" s="51"/>
      <c r="K111" s="126"/>
      <c r="L111" s="126"/>
      <c r="M111" s="126"/>
      <c r="N111" s="126"/>
      <c r="O111" s="126"/>
      <c r="P111" s="126"/>
      <c r="Q111" s="126"/>
      <c r="R111" s="126"/>
      <c r="S111" s="126"/>
      <c r="T111" s="127"/>
      <c r="U111" s="126"/>
      <c r="V111" s="126"/>
      <c r="W111" s="17">
        <f t="shared" si="25"/>
        <v>0</v>
      </c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  <c r="AI111" s="126"/>
      <c r="AJ111" s="17">
        <f t="shared" si="22"/>
        <v>0</v>
      </c>
    </row>
    <row r="112" spans="1:36" ht="15" thickBot="1">
      <c r="A112" s="110" t="s">
        <v>172</v>
      </c>
      <c r="B112" s="103" t="s">
        <v>165</v>
      </c>
      <c r="C112" s="63"/>
      <c r="D112" s="63"/>
      <c r="E112" s="17">
        <v>19</v>
      </c>
      <c r="F112" s="49">
        <f t="shared" si="35"/>
        <v>19</v>
      </c>
      <c r="G112" s="17"/>
      <c r="H112" s="61"/>
      <c r="I112" s="50"/>
      <c r="J112" s="51"/>
      <c r="K112" s="126"/>
      <c r="L112" s="126"/>
      <c r="M112" s="126"/>
      <c r="N112" s="126"/>
      <c r="O112" s="126"/>
      <c r="P112" s="126"/>
      <c r="Q112" s="126"/>
      <c r="R112" s="126"/>
      <c r="S112" s="126"/>
      <c r="T112" s="127"/>
      <c r="U112" s="126"/>
      <c r="V112" s="126"/>
      <c r="W112" s="17">
        <f t="shared" si="25"/>
        <v>0</v>
      </c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  <c r="AH112" s="126"/>
      <c r="AI112" s="126"/>
      <c r="AJ112" s="17">
        <f t="shared" si="22"/>
        <v>0</v>
      </c>
    </row>
    <row r="113" spans="1:36" ht="15" thickBot="1">
      <c r="A113" s="110" t="s">
        <v>172</v>
      </c>
      <c r="B113" s="103" t="s">
        <v>166</v>
      </c>
      <c r="C113" s="63"/>
      <c r="D113" s="63"/>
      <c r="E113" s="17">
        <v>18</v>
      </c>
      <c r="F113" s="49">
        <f t="shared" si="35"/>
        <v>18</v>
      </c>
      <c r="G113" s="17"/>
      <c r="H113" s="61"/>
      <c r="I113" s="50"/>
      <c r="J113" s="51"/>
      <c r="K113" s="126"/>
      <c r="L113" s="126"/>
      <c r="M113" s="126"/>
      <c r="N113" s="126"/>
      <c r="O113" s="126"/>
      <c r="P113" s="126"/>
      <c r="Q113" s="126"/>
      <c r="R113" s="126"/>
      <c r="S113" s="126"/>
      <c r="T113" s="127"/>
      <c r="U113" s="126"/>
      <c r="V113" s="126"/>
      <c r="W113" s="17">
        <f t="shared" si="25"/>
        <v>0</v>
      </c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  <c r="AH113" s="126"/>
      <c r="AI113" s="126"/>
      <c r="AJ113" s="17">
        <f t="shared" si="22"/>
        <v>0</v>
      </c>
    </row>
    <row r="114" spans="1:36" ht="15" thickBot="1">
      <c r="A114" s="110" t="s">
        <v>172</v>
      </c>
      <c r="B114" s="103" t="s">
        <v>167</v>
      </c>
      <c r="C114" s="63"/>
      <c r="D114" s="63"/>
      <c r="E114" s="17">
        <v>24</v>
      </c>
      <c r="F114" s="49">
        <f t="shared" si="35"/>
        <v>24</v>
      </c>
      <c r="G114" s="17"/>
      <c r="H114" s="61"/>
      <c r="I114" s="50"/>
      <c r="J114" s="51"/>
      <c r="K114" s="126"/>
      <c r="L114" s="126"/>
      <c r="M114" s="126"/>
      <c r="N114" s="126"/>
      <c r="O114" s="126"/>
      <c r="P114" s="126"/>
      <c r="Q114" s="126"/>
      <c r="R114" s="126"/>
      <c r="S114" s="126"/>
      <c r="T114" s="127"/>
      <c r="U114" s="126"/>
      <c r="V114" s="126"/>
      <c r="W114" s="17">
        <f t="shared" si="25"/>
        <v>0</v>
      </c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7">
        <f t="shared" si="22"/>
        <v>0</v>
      </c>
    </row>
    <row r="115" spans="1:36" ht="15" thickBot="1">
      <c r="A115" s="110" t="s">
        <v>172</v>
      </c>
      <c r="B115" s="103" t="s">
        <v>168</v>
      </c>
      <c r="C115" s="63"/>
      <c r="D115" s="63"/>
      <c r="E115" s="17">
        <v>21</v>
      </c>
      <c r="F115" s="49">
        <f t="shared" si="35"/>
        <v>21</v>
      </c>
      <c r="G115" s="17"/>
      <c r="H115" s="61"/>
      <c r="I115" s="50"/>
      <c r="J115" s="51"/>
      <c r="K115" s="126"/>
      <c r="L115" s="126"/>
      <c r="M115" s="126"/>
      <c r="N115" s="126"/>
      <c r="O115" s="126"/>
      <c r="P115" s="126"/>
      <c r="Q115" s="126"/>
      <c r="R115" s="126"/>
      <c r="S115" s="126"/>
      <c r="T115" s="127"/>
      <c r="U115" s="126"/>
      <c r="V115" s="126"/>
      <c r="W115" s="17">
        <f t="shared" si="25"/>
        <v>0</v>
      </c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7">
        <f t="shared" si="22"/>
        <v>0</v>
      </c>
    </row>
    <row r="116" spans="1:36" ht="15" thickBot="1">
      <c r="A116" s="110" t="s">
        <v>172</v>
      </c>
      <c r="B116" s="103" t="s">
        <v>169</v>
      </c>
      <c r="C116" s="63"/>
      <c r="D116" s="63"/>
      <c r="E116" s="17">
        <v>9</v>
      </c>
      <c r="F116" s="49">
        <f t="shared" si="35"/>
        <v>9</v>
      </c>
      <c r="G116" s="17"/>
      <c r="H116" s="61"/>
      <c r="I116" s="50"/>
      <c r="J116" s="51"/>
      <c r="K116" s="126"/>
      <c r="L116" s="126"/>
      <c r="M116" s="126"/>
      <c r="N116" s="126"/>
      <c r="O116" s="126"/>
      <c r="P116" s="126"/>
      <c r="Q116" s="126"/>
      <c r="R116" s="126"/>
      <c r="S116" s="126"/>
      <c r="T116" s="127"/>
      <c r="U116" s="126"/>
      <c r="V116" s="126"/>
      <c r="W116" s="17">
        <f t="shared" si="25"/>
        <v>0</v>
      </c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  <c r="AH116" s="126"/>
      <c r="AI116" s="126"/>
      <c r="AJ116" s="17">
        <f t="shared" si="22"/>
        <v>0</v>
      </c>
    </row>
    <row r="117" spans="1:36" ht="15" thickBot="1">
      <c r="A117" s="110" t="s">
        <v>172</v>
      </c>
      <c r="B117" s="103" t="s">
        <v>170</v>
      </c>
      <c r="C117" s="63"/>
      <c r="D117" s="63"/>
      <c r="E117" s="17">
        <v>13</v>
      </c>
      <c r="F117" s="49">
        <f t="shared" si="35"/>
        <v>13</v>
      </c>
      <c r="G117" s="17"/>
      <c r="H117" s="61"/>
      <c r="I117" s="50"/>
      <c r="J117" s="51"/>
      <c r="K117" s="126"/>
      <c r="L117" s="126"/>
      <c r="M117" s="126"/>
      <c r="N117" s="126"/>
      <c r="O117" s="126"/>
      <c r="P117" s="126"/>
      <c r="Q117" s="126"/>
      <c r="R117" s="126"/>
      <c r="S117" s="126"/>
      <c r="T117" s="127"/>
      <c r="U117" s="126"/>
      <c r="V117" s="126"/>
      <c r="W117" s="17">
        <f t="shared" si="25"/>
        <v>0</v>
      </c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7">
        <f t="shared" si="22"/>
        <v>0</v>
      </c>
    </row>
    <row r="118" spans="1:36" ht="15" thickBot="1">
      <c r="A118" s="110" t="s">
        <v>172</v>
      </c>
      <c r="B118" s="103" t="s">
        <v>171</v>
      </c>
      <c r="C118" s="63"/>
      <c r="D118" s="63"/>
      <c r="E118" s="17">
        <v>14</v>
      </c>
      <c r="F118" s="49">
        <f t="shared" si="35"/>
        <v>14</v>
      </c>
      <c r="G118" s="17"/>
      <c r="H118" s="61"/>
      <c r="I118" s="50"/>
      <c r="J118" s="51"/>
      <c r="K118" s="126"/>
      <c r="L118" s="126"/>
      <c r="M118" s="126"/>
      <c r="N118" s="126"/>
      <c r="O118" s="126"/>
      <c r="P118" s="126"/>
      <c r="Q118" s="126"/>
      <c r="R118" s="126"/>
      <c r="S118" s="126"/>
      <c r="T118" s="127"/>
      <c r="U118" s="126"/>
      <c r="V118" s="126"/>
      <c r="W118" s="17">
        <f t="shared" si="25"/>
        <v>0</v>
      </c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7">
        <f t="shared" si="22"/>
        <v>0</v>
      </c>
    </row>
    <row r="119" spans="1:37" ht="15" thickBot="1">
      <c r="A119" s="196" t="s">
        <v>207</v>
      </c>
      <c r="B119" s="197"/>
      <c r="C119" s="45">
        <f>+D119/Metas!R27</f>
        <v>0.9291023441966838</v>
      </c>
      <c r="D119" s="19">
        <f>+F119/AK119</f>
        <v>0.15794739851343625</v>
      </c>
      <c r="E119" s="14">
        <f aca="true" t="shared" si="36" ref="E119:K119">SUM(E107:E118)</f>
        <v>220</v>
      </c>
      <c r="F119" s="14">
        <f t="shared" si="36"/>
        <v>221</v>
      </c>
      <c r="G119" s="14">
        <f t="shared" si="36"/>
        <v>0</v>
      </c>
      <c r="H119" s="14">
        <f t="shared" si="36"/>
        <v>0</v>
      </c>
      <c r="I119" s="14">
        <f>SUM(I107:I118)</f>
        <v>0</v>
      </c>
      <c r="J119" s="14">
        <f t="shared" si="36"/>
        <v>0</v>
      </c>
      <c r="K119" s="14">
        <f t="shared" si="36"/>
        <v>0</v>
      </c>
      <c r="L119" s="14">
        <f aca="true" t="shared" si="37" ref="L119:V119">SUM(L107:L118)</f>
        <v>1</v>
      </c>
      <c r="M119" s="14">
        <f t="shared" si="37"/>
        <v>0</v>
      </c>
      <c r="N119" s="14">
        <f t="shared" si="37"/>
        <v>0</v>
      </c>
      <c r="O119" s="14">
        <f t="shared" si="37"/>
        <v>0</v>
      </c>
      <c r="P119" s="14">
        <f t="shared" si="37"/>
        <v>0</v>
      </c>
      <c r="Q119" s="14">
        <f t="shared" si="37"/>
        <v>0</v>
      </c>
      <c r="R119" s="14">
        <f t="shared" si="37"/>
        <v>0</v>
      </c>
      <c r="S119" s="14">
        <f t="shared" si="37"/>
        <v>0</v>
      </c>
      <c r="T119" s="14">
        <f t="shared" si="37"/>
        <v>0</v>
      </c>
      <c r="U119" s="14">
        <f t="shared" si="37"/>
        <v>0</v>
      </c>
      <c r="V119" s="14">
        <f t="shared" si="37"/>
        <v>0</v>
      </c>
      <c r="W119" s="14">
        <f t="shared" si="25"/>
        <v>1</v>
      </c>
      <c r="X119" s="14">
        <f aca="true" t="shared" si="38" ref="X119:AI119">SUM(X107:X118)</f>
        <v>0</v>
      </c>
      <c r="Y119" s="14">
        <f t="shared" si="38"/>
        <v>0</v>
      </c>
      <c r="Z119" s="14">
        <f t="shared" si="38"/>
        <v>0</v>
      </c>
      <c r="AA119" s="14">
        <f t="shared" si="38"/>
        <v>0</v>
      </c>
      <c r="AB119" s="14">
        <f t="shared" si="38"/>
        <v>0</v>
      </c>
      <c r="AC119" s="14">
        <f t="shared" si="38"/>
        <v>0</v>
      </c>
      <c r="AD119" s="14">
        <f t="shared" si="38"/>
        <v>0</v>
      </c>
      <c r="AE119" s="14">
        <f t="shared" si="38"/>
        <v>0</v>
      </c>
      <c r="AF119" s="14">
        <f t="shared" si="38"/>
        <v>0</v>
      </c>
      <c r="AG119" s="14">
        <f t="shared" si="38"/>
        <v>0</v>
      </c>
      <c r="AH119" s="14">
        <f t="shared" si="38"/>
        <v>0</v>
      </c>
      <c r="AI119" s="14">
        <f t="shared" si="38"/>
        <v>0</v>
      </c>
      <c r="AJ119" s="14">
        <f t="shared" si="22"/>
        <v>0</v>
      </c>
      <c r="AK119" s="14">
        <f>6360*0.22</f>
        <v>1399.2</v>
      </c>
    </row>
    <row r="120" spans="1:36" ht="15" thickBot="1">
      <c r="A120" s="110" t="s">
        <v>186</v>
      </c>
      <c r="B120" s="103" t="s">
        <v>173</v>
      </c>
      <c r="C120" s="63"/>
      <c r="D120" s="63"/>
      <c r="E120" s="17">
        <v>234</v>
      </c>
      <c r="F120" s="49">
        <f aca="true" t="shared" si="39" ref="F120:F132">+E120+(K120+L120+M120)-(X120+Y120+Z120)</f>
        <v>259</v>
      </c>
      <c r="G120" s="17"/>
      <c r="H120" s="61"/>
      <c r="I120" s="50"/>
      <c r="J120" s="51"/>
      <c r="K120" s="126">
        <v>19</v>
      </c>
      <c r="L120" s="126">
        <v>11</v>
      </c>
      <c r="M120" s="126"/>
      <c r="N120" s="126"/>
      <c r="O120" s="126"/>
      <c r="P120" s="126"/>
      <c r="Q120" s="126"/>
      <c r="R120" s="126"/>
      <c r="S120" s="126"/>
      <c r="T120" s="127"/>
      <c r="U120" s="126"/>
      <c r="V120" s="126"/>
      <c r="W120" s="17">
        <f t="shared" si="25"/>
        <v>30</v>
      </c>
      <c r="X120" s="126">
        <v>4</v>
      </c>
      <c r="Y120" s="126">
        <v>1</v>
      </c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7">
        <f t="shared" si="22"/>
        <v>5</v>
      </c>
    </row>
    <row r="121" spans="1:36" ht="15" thickBot="1">
      <c r="A121" s="110" t="s">
        <v>186</v>
      </c>
      <c r="B121" s="103" t="s">
        <v>174</v>
      </c>
      <c r="C121" s="63"/>
      <c r="D121" s="63"/>
      <c r="E121" s="17">
        <v>109</v>
      </c>
      <c r="F121" s="49">
        <f t="shared" si="39"/>
        <v>109</v>
      </c>
      <c r="G121" s="17"/>
      <c r="H121" s="61"/>
      <c r="I121" s="50"/>
      <c r="J121" s="51"/>
      <c r="K121" s="126"/>
      <c r="L121" s="126"/>
      <c r="M121" s="126"/>
      <c r="N121" s="126"/>
      <c r="O121" s="126"/>
      <c r="P121" s="126"/>
      <c r="Q121" s="126"/>
      <c r="R121" s="126"/>
      <c r="S121" s="126"/>
      <c r="T121" s="127"/>
      <c r="U121" s="126"/>
      <c r="V121" s="126"/>
      <c r="W121" s="17">
        <f t="shared" si="25"/>
        <v>0</v>
      </c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126"/>
      <c r="AJ121" s="17">
        <f t="shared" si="22"/>
        <v>0</v>
      </c>
    </row>
    <row r="122" spans="1:36" ht="15" thickBot="1">
      <c r="A122" s="110" t="s">
        <v>186</v>
      </c>
      <c r="B122" s="103" t="s">
        <v>175</v>
      </c>
      <c r="C122" s="63"/>
      <c r="D122" s="63"/>
      <c r="E122" s="17">
        <v>87</v>
      </c>
      <c r="F122" s="49">
        <f t="shared" si="39"/>
        <v>88</v>
      </c>
      <c r="G122" s="17"/>
      <c r="H122" s="61"/>
      <c r="I122" s="50"/>
      <c r="J122" s="51"/>
      <c r="K122" s="126"/>
      <c r="L122" s="126">
        <v>1</v>
      </c>
      <c r="M122" s="126"/>
      <c r="N122" s="126"/>
      <c r="O122" s="126"/>
      <c r="P122" s="126"/>
      <c r="Q122" s="126"/>
      <c r="R122" s="126"/>
      <c r="S122" s="126"/>
      <c r="T122" s="127"/>
      <c r="U122" s="126"/>
      <c r="V122" s="126"/>
      <c r="W122" s="17">
        <f t="shared" si="25"/>
        <v>1</v>
      </c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7">
        <f t="shared" si="22"/>
        <v>0</v>
      </c>
    </row>
    <row r="123" spans="1:36" ht="15" thickBot="1">
      <c r="A123" s="110" t="s">
        <v>186</v>
      </c>
      <c r="B123" s="103" t="s">
        <v>176</v>
      </c>
      <c r="C123" s="63"/>
      <c r="D123" s="63"/>
      <c r="E123" s="17">
        <v>216</v>
      </c>
      <c r="F123" s="49">
        <f t="shared" si="39"/>
        <v>240</v>
      </c>
      <c r="G123" s="17"/>
      <c r="H123" s="61"/>
      <c r="I123" s="50"/>
      <c r="J123" s="51"/>
      <c r="K123" s="126">
        <v>6</v>
      </c>
      <c r="L123" s="126">
        <v>24</v>
      </c>
      <c r="M123" s="126"/>
      <c r="N123" s="126"/>
      <c r="O123" s="126"/>
      <c r="P123" s="126"/>
      <c r="Q123" s="126"/>
      <c r="R123" s="126"/>
      <c r="S123" s="126"/>
      <c r="T123" s="127"/>
      <c r="U123" s="126"/>
      <c r="V123" s="126"/>
      <c r="W123" s="17">
        <f t="shared" si="25"/>
        <v>30</v>
      </c>
      <c r="X123" s="126">
        <v>3</v>
      </c>
      <c r="Y123" s="126">
        <v>3</v>
      </c>
      <c r="Z123" s="126"/>
      <c r="AA123" s="126"/>
      <c r="AB123" s="126"/>
      <c r="AC123" s="126"/>
      <c r="AD123" s="126"/>
      <c r="AE123" s="126"/>
      <c r="AF123" s="126"/>
      <c r="AG123" s="126"/>
      <c r="AH123" s="126"/>
      <c r="AI123" s="126"/>
      <c r="AJ123" s="17">
        <f t="shared" si="22"/>
        <v>6</v>
      </c>
    </row>
    <row r="124" spans="1:36" ht="15" thickBot="1">
      <c r="A124" s="110" t="s">
        <v>186</v>
      </c>
      <c r="B124" s="103" t="s">
        <v>177</v>
      </c>
      <c r="C124" s="63"/>
      <c r="D124" s="63"/>
      <c r="E124" s="17">
        <v>26</v>
      </c>
      <c r="F124" s="49">
        <f t="shared" si="39"/>
        <v>27</v>
      </c>
      <c r="G124" s="17"/>
      <c r="H124" s="61"/>
      <c r="I124" s="50"/>
      <c r="J124" s="51"/>
      <c r="K124" s="126">
        <v>2</v>
      </c>
      <c r="L124" s="126"/>
      <c r="M124" s="126"/>
      <c r="N124" s="126"/>
      <c r="O124" s="126"/>
      <c r="P124" s="126"/>
      <c r="Q124" s="126"/>
      <c r="R124" s="126"/>
      <c r="S124" s="126"/>
      <c r="T124" s="127"/>
      <c r="U124" s="126"/>
      <c r="V124" s="126"/>
      <c r="W124" s="17">
        <f t="shared" si="25"/>
        <v>2</v>
      </c>
      <c r="X124" s="126">
        <v>1</v>
      </c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6"/>
      <c r="AJ124" s="17">
        <f t="shared" si="22"/>
        <v>1</v>
      </c>
    </row>
    <row r="125" spans="1:36" ht="15" thickBot="1">
      <c r="A125" s="110" t="s">
        <v>186</v>
      </c>
      <c r="B125" s="103" t="s">
        <v>178</v>
      </c>
      <c r="C125" s="63"/>
      <c r="D125" s="63"/>
      <c r="E125" s="17">
        <v>21</v>
      </c>
      <c r="F125" s="49">
        <f t="shared" si="39"/>
        <v>23</v>
      </c>
      <c r="G125" s="17"/>
      <c r="H125" s="61"/>
      <c r="I125" s="50"/>
      <c r="J125" s="51"/>
      <c r="K125" s="126">
        <v>2</v>
      </c>
      <c r="L125" s="126"/>
      <c r="M125" s="126"/>
      <c r="N125" s="126"/>
      <c r="O125" s="126"/>
      <c r="P125" s="126"/>
      <c r="Q125" s="126"/>
      <c r="R125" s="126"/>
      <c r="S125" s="126"/>
      <c r="T125" s="127"/>
      <c r="U125" s="126"/>
      <c r="V125" s="126"/>
      <c r="W125" s="17">
        <f t="shared" si="25"/>
        <v>2</v>
      </c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  <c r="AI125" s="126"/>
      <c r="AJ125" s="17">
        <f t="shared" si="22"/>
        <v>0</v>
      </c>
    </row>
    <row r="126" spans="1:36" ht="15" thickBot="1">
      <c r="A126" s="110" t="s">
        <v>186</v>
      </c>
      <c r="B126" s="103" t="s">
        <v>179</v>
      </c>
      <c r="C126" s="63"/>
      <c r="D126" s="63"/>
      <c r="E126" s="17">
        <v>21</v>
      </c>
      <c r="F126" s="49">
        <f t="shared" si="39"/>
        <v>21</v>
      </c>
      <c r="G126" s="17"/>
      <c r="H126" s="61"/>
      <c r="I126" s="50"/>
      <c r="J126" s="5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7"/>
      <c r="U126" s="126"/>
      <c r="V126" s="126"/>
      <c r="W126" s="17">
        <f t="shared" si="25"/>
        <v>0</v>
      </c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  <c r="AH126" s="126"/>
      <c r="AI126" s="126"/>
      <c r="AJ126" s="17">
        <f t="shared" si="22"/>
        <v>0</v>
      </c>
    </row>
    <row r="127" spans="1:36" ht="15" thickBot="1">
      <c r="A127" s="110" t="s">
        <v>186</v>
      </c>
      <c r="B127" s="103" t="s">
        <v>180</v>
      </c>
      <c r="C127" s="63"/>
      <c r="D127" s="63"/>
      <c r="E127" s="17">
        <v>19</v>
      </c>
      <c r="F127" s="49">
        <f t="shared" si="39"/>
        <v>19</v>
      </c>
      <c r="G127" s="17"/>
      <c r="H127" s="61"/>
      <c r="I127" s="50"/>
      <c r="J127" s="51"/>
      <c r="K127" s="126"/>
      <c r="L127" s="126"/>
      <c r="M127" s="126"/>
      <c r="N127" s="126"/>
      <c r="O127" s="126"/>
      <c r="P127" s="126"/>
      <c r="Q127" s="126"/>
      <c r="R127" s="126"/>
      <c r="S127" s="126"/>
      <c r="T127" s="127"/>
      <c r="U127" s="126"/>
      <c r="V127" s="126"/>
      <c r="W127" s="17">
        <f t="shared" si="25"/>
        <v>0</v>
      </c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6"/>
      <c r="AH127" s="126"/>
      <c r="AI127" s="126"/>
      <c r="AJ127" s="17">
        <f t="shared" si="22"/>
        <v>0</v>
      </c>
    </row>
    <row r="128" spans="1:36" ht="15" thickBot="1">
      <c r="A128" s="110" t="s">
        <v>186</v>
      </c>
      <c r="B128" s="103" t="s">
        <v>181</v>
      </c>
      <c r="C128" s="63"/>
      <c r="D128" s="63"/>
      <c r="E128" s="17">
        <v>25</v>
      </c>
      <c r="F128" s="49">
        <f t="shared" si="39"/>
        <v>25</v>
      </c>
      <c r="G128" s="17"/>
      <c r="H128" s="61"/>
      <c r="I128" s="50"/>
      <c r="J128" s="51"/>
      <c r="K128" s="126"/>
      <c r="L128" s="126"/>
      <c r="M128" s="126"/>
      <c r="N128" s="126"/>
      <c r="O128" s="126"/>
      <c r="P128" s="126"/>
      <c r="Q128" s="126"/>
      <c r="R128" s="126"/>
      <c r="S128" s="126"/>
      <c r="T128" s="127"/>
      <c r="U128" s="126"/>
      <c r="V128" s="126"/>
      <c r="W128" s="17">
        <f t="shared" si="25"/>
        <v>0</v>
      </c>
      <c r="X128" s="126"/>
      <c r="Y128" s="126"/>
      <c r="Z128" s="126"/>
      <c r="AA128" s="126"/>
      <c r="AB128" s="126"/>
      <c r="AC128" s="126"/>
      <c r="AD128" s="126"/>
      <c r="AE128" s="126"/>
      <c r="AF128" s="126"/>
      <c r="AG128" s="126"/>
      <c r="AH128" s="126"/>
      <c r="AI128" s="126"/>
      <c r="AJ128" s="17">
        <f t="shared" si="22"/>
        <v>0</v>
      </c>
    </row>
    <row r="129" spans="1:36" ht="15" thickBot="1">
      <c r="A129" s="110" t="s">
        <v>186</v>
      </c>
      <c r="B129" s="103" t="s">
        <v>182</v>
      </c>
      <c r="C129" s="63"/>
      <c r="D129" s="63"/>
      <c r="E129" s="17">
        <v>37</v>
      </c>
      <c r="F129" s="49">
        <f t="shared" si="39"/>
        <v>40</v>
      </c>
      <c r="G129" s="17"/>
      <c r="H129" s="61"/>
      <c r="I129" s="50"/>
      <c r="J129" s="51"/>
      <c r="K129" s="126">
        <v>2</v>
      </c>
      <c r="L129" s="126">
        <v>2</v>
      </c>
      <c r="M129" s="126"/>
      <c r="N129" s="126"/>
      <c r="O129" s="126"/>
      <c r="P129" s="126"/>
      <c r="Q129" s="126"/>
      <c r="R129" s="126"/>
      <c r="S129" s="126"/>
      <c r="T129" s="127"/>
      <c r="U129" s="126"/>
      <c r="V129" s="126"/>
      <c r="W129" s="17">
        <f t="shared" si="25"/>
        <v>4</v>
      </c>
      <c r="X129" s="126"/>
      <c r="Y129" s="126">
        <v>1</v>
      </c>
      <c r="Z129" s="126"/>
      <c r="AA129" s="126"/>
      <c r="AB129" s="126"/>
      <c r="AC129" s="126"/>
      <c r="AD129" s="126"/>
      <c r="AE129" s="126"/>
      <c r="AF129" s="126"/>
      <c r="AG129" s="126"/>
      <c r="AH129" s="126"/>
      <c r="AI129" s="126"/>
      <c r="AJ129" s="17">
        <f t="shared" si="22"/>
        <v>1</v>
      </c>
    </row>
    <row r="130" spans="1:36" ht="15" thickBot="1">
      <c r="A130" s="110" t="s">
        <v>186</v>
      </c>
      <c r="B130" s="103" t="s">
        <v>183</v>
      </c>
      <c r="C130" s="63"/>
      <c r="D130" s="63"/>
      <c r="E130" s="17">
        <v>26</v>
      </c>
      <c r="F130" s="49">
        <f t="shared" si="39"/>
        <v>26</v>
      </c>
      <c r="G130" s="17"/>
      <c r="H130" s="61"/>
      <c r="I130" s="50"/>
      <c r="J130" s="51"/>
      <c r="K130" s="128"/>
      <c r="L130" s="128"/>
      <c r="M130" s="128"/>
      <c r="N130" s="128"/>
      <c r="O130" s="128"/>
      <c r="P130" s="128"/>
      <c r="Q130" s="128"/>
      <c r="R130" s="128"/>
      <c r="S130" s="128"/>
      <c r="T130" s="127"/>
      <c r="U130" s="128"/>
      <c r="V130" s="128"/>
      <c r="W130" s="17">
        <f t="shared" si="25"/>
        <v>0</v>
      </c>
      <c r="X130" s="126"/>
      <c r="Y130" s="126"/>
      <c r="Z130" s="126"/>
      <c r="AA130" s="126"/>
      <c r="AB130" s="126"/>
      <c r="AC130" s="126"/>
      <c r="AD130" s="126"/>
      <c r="AE130" s="126"/>
      <c r="AF130" s="126"/>
      <c r="AG130" s="128"/>
      <c r="AH130" s="128"/>
      <c r="AI130" s="128"/>
      <c r="AJ130" s="17">
        <f>SUM(X130:AI130)</f>
        <v>0</v>
      </c>
    </row>
    <row r="131" spans="1:36" ht="15" thickBot="1">
      <c r="A131" s="110" t="s">
        <v>186</v>
      </c>
      <c r="B131" s="103" t="s">
        <v>184</v>
      </c>
      <c r="C131" s="63"/>
      <c r="D131" s="63"/>
      <c r="E131" s="17">
        <v>16</v>
      </c>
      <c r="F131" s="49">
        <f t="shared" si="39"/>
        <v>16</v>
      </c>
      <c r="G131" s="17"/>
      <c r="H131" s="61"/>
      <c r="I131" s="50"/>
      <c r="J131" s="51"/>
      <c r="K131" s="128"/>
      <c r="L131" s="128"/>
      <c r="M131" s="128"/>
      <c r="N131" s="128"/>
      <c r="O131" s="128"/>
      <c r="P131" s="128"/>
      <c r="Q131" s="128"/>
      <c r="R131" s="128"/>
      <c r="S131" s="128"/>
      <c r="T131" s="127"/>
      <c r="U131" s="128"/>
      <c r="V131" s="128"/>
      <c r="W131" s="17">
        <f t="shared" si="25"/>
        <v>0</v>
      </c>
      <c r="X131" s="128"/>
      <c r="Y131" s="128"/>
      <c r="Z131" s="128"/>
      <c r="AA131" s="128"/>
      <c r="AB131" s="128"/>
      <c r="AC131" s="128"/>
      <c r="AD131" s="128"/>
      <c r="AE131" s="128"/>
      <c r="AF131" s="128"/>
      <c r="AG131" s="128"/>
      <c r="AH131" s="128"/>
      <c r="AI131" s="128"/>
      <c r="AJ131" s="17">
        <f t="shared" si="22"/>
        <v>0</v>
      </c>
    </row>
    <row r="132" spans="1:36" ht="15" thickBot="1">
      <c r="A132" s="110" t="s">
        <v>186</v>
      </c>
      <c r="B132" s="103" t="s">
        <v>185</v>
      </c>
      <c r="C132" s="63"/>
      <c r="D132" s="63"/>
      <c r="E132" s="17">
        <v>3</v>
      </c>
      <c r="F132" s="49">
        <f t="shared" si="39"/>
        <v>3</v>
      </c>
      <c r="G132" s="17"/>
      <c r="H132" s="61"/>
      <c r="I132" s="50"/>
      <c r="J132" s="51"/>
      <c r="K132" s="128"/>
      <c r="L132" s="128"/>
      <c r="M132" s="128"/>
      <c r="N132" s="128"/>
      <c r="O132" s="128"/>
      <c r="P132" s="128"/>
      <c r="Q132" s="128"/>
      <c r="R132" s="128"/>
      <c r="S132" s="128"/>
      <c r="T132" s="127"/>
      <c r="U132" s="128"/>
      <c r="V132" s="128"/>
      <c r="W132" s="17">
        <f t="shared" si="25"/>
        <v>0</v>
      </c>
      <c r="X132" s="128"/>
      <c r="Y132" s="128"/>
      <c r="Z132" s="128"/>
      <c r="AA132" s="128"/>
      <c r="AB132" s="128"/>
      <c r="AC132" s="128"/>
      <c r="AD132" s="128"/>
      <c r="AE132" s="128"/>
      <c r="AF132" s="128"/>
      <c r="AG132" s="128"/>
      <c r="AH132" s="128"/>
      <c r="AI132" s="128"/>
      <c r="AJ132" s="17">
        <f t="shared" si="22"/>
        <v>0</v>
      </c>
    </row>
    <row r="133" spans="1:37" ht="15" thickBot="1">
      <c r="A133" s="196" t="s">
        <v>208</v>
      </c>
      <c r="B133" s="197"/>
      <c r="C133" s="45">
        <f>+D133/Metas!R32</f>
        <v>0.8509348316877494</v>
      </c>
      <c r="D133" s="19">
        <f>+F133/AK133</f>
        <v>0.1446589213869174</v>
      </c>
      <c r="E133" s="14">
        <f aca="true" t="shared" si="40" ref="E133:K133">SUM(E120:E132)</f>
        <v>840</v>
      </c>
      <c r="F133" s="14">
        <f t="shared" si="40"/>
        <v>896</v>
      </c>
      <c r="G133" s="14">
        <f t="shared" si="40"/>
        <v>0</v>
      </c>
      <c r="H133" s="14">
        <f t="shared" si="40"/>
        <v>0</v>
      </c>
      <c r="I133" s="14">
        <f>SUM(I120:I132)</f>
        <v>0</v>
      </c>
      <c r="J133" s="14">
        <f t="shared" si="40"/>
        <v>0</v>
      </c>
      <c r="K133" s="14">
        <f t="shared" si="40"/>
        <v>31</v>
      </c>
      <c r="L133" s="14">
        <f aca="true" t="shared" si="41" ref="L133:V133">SUM(L120:L132)</f>
        <v>38</v>
      </c>
      <c r="M133" s="14">
        <f t="shared" si="41"/>
        <v>0</v>
      </c>
      <c r="N133" s="14">
        <f t="shared" si="41"/>
        <v>0</v>
      </c>
      <c r="O133" s="14">
        <f t="shared" si="41"/>
        <v>0</v>
      </c>
      <c r="P133" s="14">
        <f t="shared" si="41"/>
        <v>0</v>
      </c>
      <c r="Q133" s="14">
        <f t="shared" si="41"/>
        <v>0</v>
      </c>
      <c r="R133" s="14">
        <f t="shared" si="41"/>
        <v>0</v>
      </c>
      <c r="S133" s="14">
        <f t="shared" si="41"/>
        <v>0</v>
      </c>
      <c r="T133" s="14">
        <f t="shared" si="41"/>
        <v>0</v>
      </c>
      <c r="U133" s="14">
        <f t="shared" si="41"/>
        <v>0</v>
      </c>
      <c r="V133" s="14">
        <f t="shared" si="41"/>
        <v>0</v>
      </c>
      <c r="W133" s="14">
        <f t="shared" si="25"/>
        <v>69</v>
      </c>
      <c r="X133" s="14">
        <f aca="true" t="shared" si="42" ref="X133:AI133">SUM(X120:X132)</f>
        <v>8</v>
      </c>
      <c r="Y133" s="14">
        <f t="shared" si="42"/>
        <v>5</v>
      </c>
      <c r="Z133" s="14">
        <f t="shared" si="42"/>
        <v>0</v>
      </c>
      <c r="AA133" s="14">
        <f t="shared" si="42"/>
        <v>0</v>
      </c>
      <c r="AB133" s="14">
        <f t="shared" si="42"/>
        <v>0</v>
      </c>
      <c r="AC133" s="14">
        <f t="shared" si="42"/>
        <v>0</v>
      </c>
      <c r="AD133" s="14">
        <f t="shared" si="42"/>
        <v>0</v>
      </c>
      <c r="AE133" s="14">
        <f t="shared" si="42"/>
        <v>0</v>
      </c>
      <c r="AF133" s="14">
        <f t="shared" si="42"/>
        <v>0</v>
      </c>
      <c r="AG133" s="14">
        <f t="shared" si="42"/>
        <v>0</v>
      </c>
      <c r="AH133" s="14">
        <f t="shared" si="42"/>
        <v>0</v>
      </c>
      <c r="AI133" s="14">
        <f t="shared" si="42"/>
        <v>0</v>
      </c>
      <c r="AJ133" s="14">
        <f t="shared" si="22"/>
        <v>13</v>
      </c>
      <c r="AK133" s="14">
        <f>28154*0.22</f>
        <v>6193.88</v>
      </c>
    </row>
    <row r="134" spans="1:36" ht="15" thickBot="1">
      <c r="A134" s="110" t="s">
        <v>191</v>
      </c>
      <c r="B134" s="103" t="s">
        <v>187</v>
      </c>
      <c r="C134" s="63"/>
      <c r="D134" s="63"/>
      <c r="E134" s="17">
        <v>260</v>
      </c>
      <c r="F134" s="49">
        <f>+E134+(K134+L134+M134)-(X134+Y134+Z134)</f>
        <v>300</v>
      </c>
      <c r="G134" s="17"/>
      <c r="H134" s="61"/>
      <c r="I134" s="50"/>
      <c r="J134" s="51"/>
      <c r="K134" s="121">
        <v>22</v>
      </c>
      <c r="L134" s="121">
        <v>19</v>
      </c>
      <c r="M134" s="121"/>
      <c r="N134" s="121"/>
      <c r="O134" s="121"/>
      <c r="P134" s="121"/>
      <c r="Q134" s="121"/>
      <c r="R134" s="121"/>
      <c r="S134" s="121"/>
      <c r="T134" s="121"/>
      <c r="U134" s="121"/>
      <c r="V134" s="129"/>
      <c r="W134" s="17">
        <f t="shared" si="25"/>
        <v>41</v>
      </c>
      <c r="X134" s="121"/>
      <c r="Y134" s="121">
        <v>1</v>
      </c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7">
        <f t="shared" si="22"/>
        <v>1</v>
      </c>
    </row>
    <row r="135" spans="1:36" ht="15" thickBot="1">
      <c r="A135" s="110" t="s">
        <v>191</v>
      </c>
      <c r="B135" s="103" t="s">
        <v>188</v>
      </c>
      <c r="C135" s="63"/>
      <c r="D135" s="63"/>
      <c r="E135" s="51">
        <v>19</v>
      </c>
      <c r="F135" s="49">
        <f>+E135+(K135+L135+M135)-(X135+Y135+Z135)</f>
        <v>19</v>
      </c>
      <c r="G135" s="17"/>
      <c r="H135" s="61"/>
      <c r="I135" s="50"/>
      <c r="J135" s="5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7">
        <f t="shared" si="25"/>
        <v>0</v>
      </c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7">
        <f t="shared" si="22"/>
        <v>0</v>
      </c>
    </row>
    <row r="136" spans="1:36" ht="15" thickBot="1">
      <c r="A136" s="110" t="s">
        <v>191</v>
      </c>
      <c r="B136" s="103" t="s">
        <v>189</v>
      </c>
      <c r="C136" s="63"/>
      <c r="D136" s="63"/>
      <c r="E136" s="51"/>
      <c r="F136" s="49">
        <f>+E136+(K136+L136+M136)-(X136+Y136+Z136)</f>
        <v>0</v>
      </c>
      <c r="G136" s="17"/>
      <c r="H136" s="61"/>
      <c r="I136" s="50"/>
      <c r="J136" s="5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7">
        <f t="shared" si="25"/>
        <v>0</v>
      </c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7">
        <f t="shared" si="22"/>
        <v>0</v>
      </c>
    </row>
    <row r="137" spans="1:36" ht="15" thickBot="1">
      <c r="A137" s="110" t="s">
        <v>191</v>
      </c>
      <c r="B137" s="103" t="s">
        <v>190</v>
      </c>
      <c r="C137" s="63"/>
      <c r="D137" s="63"/>
      <c r="E137" s="51"/>
      <c r="F137" s="49">
        <f>+E137+(K137+L137+M137)-(X137+Y137+Z137)</f>
        <v>0</v>
      </c>
      <c r="G137" s="17"/>
      <c r="H137" s="61"/>
      <c r="I137" s="50"/>
      <c r="J137" s="5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7">
        <f t="shared" si="25"/>
        <v>0</v>
      </c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7">
        <f t="shared" si="22"/>
        <v>0</v>
      </c>
    </row>
    <row r="138" spans="1:37" ht="15" thickBot="1">
      <c r="A138" s="196" t="s">
        <v>209</v>
      </c>
      <c r="B138" s="197"/>
      <c r="C138" s="45">
        <f>+D138/Metas!R34</f>
        <v>0.8519188738220018</v>
      </c>
      <c r="D138" s="19">
        <f>+F138/AK138</f>
        <v>0.14482620854974032</v>
      </c>
      <c r="E138" s="14">
        <f aca="true" t="shared" si="43" ref="E138:K138">SUM(E134:E137)</f>
        <v>279</v>
      </c>
      <c r="F138" s="14">
        <f t="shared" si="43"/>
        <v>319</v>
      </c>
      <c r="G138" s="14">
        <f t="shared" si="43"/>
        <v>0</v>
      </c>
      <c r="H138" s="14">
        <f t="shared" si="43"/>
        <v>0</v>
      </c>
      <c r="I138" s="14">
        <f>SUM(I134:I137)</f>
        <v>0</v>
      </c>
      <c r="J138" s="14">
        <f t="shared" si="43"/>
        <v>0</v>
      </c>
      <c r="K138" s="14">
        <f t="shared" si="43"/>
        <v>22</v>
      </c>
      <c r="L138" s="14">
        <f aca="true" t="shared" si="44" ref="L138:V138">SUM(L134:L137)</f>
        <v>19</v>
      </c>
      <c r="M138" s="14">
        <f t="shared" si="44"/>
        <v>0</v>
      </c>
      <c r="N138" s="14">
        <f t="shared" si="44"/>
        <v>0</v>
      </c>
      <c r="O138" s="14">
        <f t="shared" si="44"/>
        <v>0</v>
      </c>
      <c r="P138" s="14">
        <f t="shared" si="44"/>
        <v>0</v>
      </c>
      <c r="Q138" s="14">
        <f t="shared" si="44"/>
        <v>0</v>
      </c>
      <c r="R138" s="14">
        <f t="shared" si="44"/>
        <v>0</v>
      </c>
      <c r="S138" s="14">
        <f t="shared" si="44"/>
        <v>0</v>
      </c>
      <c r="T138" s="14">
        <f t="shared" si="44"/>
        <v>0</v>
      </c>
      <c r="U138" s="14">
        <f t="shared" si="44"/>
        <v>0</v>
      </c>
      <c r="V138" s="14">
        <f t="shared" si="44"/>
        <v>0</v>
      </c>
      <c r="W138" s="14">
        <f t="shared" si="25"/>
        <v>41</v>
      </c>
      <c r="X138" s="14">
        <f aca="true" t="shared" si="45" ref="X138:AI138">SUM(X134:X137)</f>
        <v>0</v>
      </c>
      <c r="Y138" s="14">
        <f t="shared" si="45"/>
        <v>1</v>
      </c>
      <c r="Z138" s="14">
        <f t="shared" si="45"/>
        <v>0</v>
      </c>
      <c r="AA138" s="14">
        <f t="shared" si="45"/>
        <v>0</v>
      </c>
      <c r="AB138" s="14">
        <f t="shared" si="45"/>
        <v>0</v>
      </c>
      <c r="AC138" s="14">
        <f t="shared" si="45"/>
        <v>0</v>
      </c>
      <c r="AD138" s="14">
        <f t="shared" si="45"/>
        <v>0</v>
      </c>
      <c r="AE138" s="14">
        <f t="shared" si="45"/>
        <v>0</v>
      </c>
      <c r="AF138" s="14">
        <f t="shared" si="45"/>
        <v>0</v>
      </c>
      <c r="AG138" s="14">
        <f t="shared" si="45"/>
        <v>0</v>
      </c>
      <c r="AH138" s="14">
        <f t="shared" si="45"/>
        <v>0</v>
      </c>
      <c r="AI138" s="14">
        <f t="shared" si="45"/>
        <v>0</v>
      </c>
      <c r="AJ138" s="14">
        <f t="shared" si="22"/>
        <v>1</v>
      </c>
      <c r="AK138" s="14">
        <f>10012*0.22</f>
        <v>2202.64</v>
      </c>
    </row>
    <row r="139" spans="1:36" ht="15" thickBot="1">
      <c r="A139" s="110" t="s">
        <v>199</v>
      </c>
      <c r="B139" s="103" t="s">
        <v>192</v>
      </c>
      <c r="C139" s="63"/>
      <c r="D139" s="63"/>
      <c r="E139" s="51">
        <v>79</v>
      </c>
      <c r="F139" s="49">
        <f aca="true" t="shared" si="46" ref="F139:F145">+E139+(K139+L139+M139)-(X139+Y139+Z139)</f>
        <v>79</v>
      </c>
      <c r="G139" s="17"/>
      <c r="H139" s="61"/>
      <c r="I139" s="50"/>
      <c r="J139" s="5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7">
        <f t="shared" si="25"/>
        <v>0</v>
      </c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7">
        <f t="shared" si="22"/>
        <v>0</v>
      </c>
    </row>
    <row r="140" spans="1:36" ht="15" thickBot="1">
      <c r="A140" s="110" t="s">
        <v>199</v>
      </c>
      <c r="B140" s="103" t="s">
        <v>193</v>
      </c>
      <c r="C140" s="63"/>
      <c r="D140" s="63"/>
      <c r="E140" s="51">
        <v>17</v>
      </c>
      <c r="F140" s="49">
        <f t="shared" si="46"/>
        <v>17</v>
      </c>
      <c r="G140" s="17"/>
      <c r="H140" s="61"/>
      <c r="I140" s="50"/>
      <c r="J140" s="5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7">
        <f t="shared" si="25"/>
        <v>0</v>
      </c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7">
        <f aca="true" t="shared" si="47" ref="AJ140:AJ146">SUM(X140:AI140)</f>
        <v>0</v>
      </c>
    </row>
    <row r="141" spans="1:36" ht="15" thickBot="1">
      <c r="A141" s="110" t="s">
        <v>199</v>
      </c>
      <c r="B141" s="103" t="s">
        <v>194</v>
      </c>
      <c r="C141" s="63"/>
      <c r="D141" s="63"/>
      <c r="E141" s="51">
        <v>28</v>
      </c>
      <c r="F141" s="49">
        <f t="shared" si="46"/>
        <v>28</v>
      </c>
      <c r="G141" s="17"/>
      <c r="H141" s="61"/>
      <c r="I141" s="50"/>
      <c r="J141" s="5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7">
        <f t="shared" si="25"/>
        <v>0</v>
      </c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7">
        <f t="shared" si="47"/>
        <v>0</v>
      </c>
    </row>
    <row r="142" spans="1:36" ht="15" thickBot="1">
      <c r="A142" s="110" t="s">
        <v>199</v>
      </c>
      <c r="B142" s="103" t="s">
        <v>195</v>
      </c>
      <c r="C142" s="63"/>
      <c r="D142" s="63"/>
      <c r="E142" s="51">
        <v>33</v>
      </c>
      <c r="F142" s="49">
        <f t="shared" si="46"/>
        <v>33</v>
      </c>
      <c r="G142" s="17"/>
      <c r="H142" s="61"/>
      <c r="I142" s="50"/>
      <c r="J142" s="5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7">
        <f>SUM(K142:V142)</f>
        <v>0</v>
      </c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7">
        <f t="shared" si="47"/>
        <v>0</v>
      </c>
    </row>
    <row r="143" spans="1:36" ht="15" thickBot="1">
      <c r="A143" s="110" t="s">
        <v>199</v>
      </c>
      <c r="B143" s="103" t="s">
        <v>196</v>
      </c>
      <c r="C143" s="63"/>
      <c r="D143" s="63"/>
      <c r="E143" s="51">
        <v>41</v>
      </c>
      <c r="F143" s="49">
        <f t="shared" si="46"/>
        <v>41</v>
      </c>
      <c r="G143" s="17"/>
      <c r="H143" s="61"/>
      <c r="I143" s="50"/>
      <c r="J143" s="5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7">
        <f>SUM(K143:V143)</f>
        <v>0</v>
      </c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7">
        <f t="shared" si="47"/>
        <v>0</v>
      </c>
    </row>
    <row r="144" spans="1:36" ht="15" thickBot="1">
      <c r="A144" s="110" t="s">
        <v>199</v>
      </c>
      <c r="B144" s="103" t="s">
        <v>197</v>
      </c>
      <c r="C144" s="63"/>
      <c r="D144" s="63"/>
      <c r="E144" s="51">
        <v>38</v>
      </c>
      <c r="F144" s="49">
        <f t="shared" si="46"/>
        <v>38</v>
      </c>
      <c r="G144" s="17"/>
      <c r="H144" s="61"/>
      <c r="I144" s="50"/>
      <c r="J144" s="5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7">
        <f>SUM(K144:V144)</f>
        <v>0</v>
      </c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7">
        <f>SUM(X144:AI144)</f>
        <v>0</v>
      </c>
    </row>
    <row r="145" spans="1:36" ht="15" thickBot="1">
      <c r="A145" s="110" t="s">
        <v>199</v>
      </c>
      <c r="B145" s="103" t="s">
        <v>198</v>
      </c>
      <c r="C145" s="63"/>
      <c r="D145" s="63"/>
      <c r="E145" s="51">
        <v>23</v>
      </c>
      <c r="F145" s="49">
        <f t="shared" si="46"/>
        <v>23</v>
      </c>
      <c r="G145" s="17"/>
      <c r="H145" s="61"/>
      <c r="I145" s="50"/>
      <c r="J145" s="5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7">
        <f>SUM(K145:V145)</f>
        <v>0</v>
      </c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7">
        <f>SUM(X145:AI145)</f>
        <v>0</v>
      </c>
    </row>
    <row r="146" spans="1:37" ht="15" thickBot="1">
      <c r="A146" s="196" t="s">
        <v>210</v>
      </c>
      <c r="B146" s="197"/>
      <c r="C146" s="45">
        <f>+D146/Metas!R35</f>
        <v>0.9707064044135285</v>
      </c>
      <c r="D146" s="19">
        <f>+F146/AK146</f>
        <v>0.31062604941232913</v>
      </c>
      <c r="E146" s="14">
        <f aca="true" t="shared" si="48" ref="E146:K146">SUM(E139:E145)</f>
        <v>259</v>
      </c>
      <c r="F146" s="14">
        <f t="shared" si="48"/>
        <v>259</v>
      </c>
      <c r="G146" s="14">
        <f t="shared" si="48"/>
        <v>0</v>
      </c>
      <c r="H146" s="14">
        <f t="shared" si="48"/>
        <v>0</v>
      </c>
      <c r="I146" s="14">
        <f>SUM(I139:I145)</f>
        <v>0</v>
      </c>
      <c r="J146" s="14">
        <f t="shared" si="48"/>
        <v>0</v>
      </c>
      <c r="K146" s="14">
        <f t="shared" si="48"/>
        <v>0</v>
      </c>
      <c r="L146" s="14">
        <f aca="true" t="shared" si="49" ref="L146:V146">SUM(L139:L145)</f>
        <v>0</v>
      </c>
      <c r="M146" s="14">
        <f t="shared" si="49"/>
        <v>0</v>
      </c>
      <c r="N146" s="14">
        <f t="shared" si="49"/>
        <v>0</v>
      </c>
      <c r="O146" s="14">
        <f t="shared" si="49"/>
        <v>0</v>
      </c>
      <c r="P146" s="14">
        <f t="shared" si="49"/>
        <v>0</v>
      </c>
      <c r="Q146" s="14">
        <f t="shared" si="49"/>
        <v>0</v>
      </c>
      <c r="R146" s="14">
        <f t="shared" si="49"/>
        <v>0</v>
      </c>
      <c r="S146" s="14">
        <f t="shared" si="49"/>
        <v>0</v>
      </c>
      <c r="T146" s="14">
        <f t="shared" si="49"/>
        <v>0</v>
      </c>
      <c r="U146" s="14">
        <f t="shared" si="49"/>
        <v>0</v>
      </c>
      <c r="V146" s="14">
        <f t="shared" si="49"/>
        <v>0</v>
      </c>
      <c r="W146" s="14">
        <f>SUM(K146:V146)</f>
        <v>0</v>
      </c>
      <c r="X146" s="14">
        <f aca="true" t="shared" si="50" ref="X146:AI146">SUM(X139:X145)</f>
        <v>0</v>
      </c>
      <c r="Y146" s="14">
        <f t="shared" si="50"/>
        <v>0</v>
      </c>
      <c r="Z146" s="14">
        <f t="shared" si="50"/>
        <v>0</v>
      </c>
      <c r="AA146" s="14">
        <f t="shared" si="50"/>
        <v>0</v>
      </c>
      <c r="AB146" s="14">
        <f t="shared" si="50"/>
        <v>0</v>
      </c>
      <c r="AC146" s="14">
        <f t="shared" si="50"/>
        <v>0</v>
      </c>
      <c r="AD146" s="14">
        <f t="shared" si="50"/>
        <v>0</v>
      </c>
      <c r="AE146" s="14">
        <f t="shared" si="50"/>
        <v>0</v>
      </c>
      <c r="AF146" s="14">
        <f t="shared" si="50"/>
        <v>0</v>
      </c>
      <c r="AG146" s="14">
        <f t="shared" si="50"/>
        <v>0</v>
      </c>
      <c r="AH146" s="14">
        <f t="shared" si="50"/>
        <v>0</v>
      </c>
      <c r="AI146" s="14">
        <f t="shared" si="50"/>
        <v>0</v>
      </c>
      <c r="AJ146" s="14">
        <f t="shared" si="47"/>
        <v>0</v>
      </c>
      <c r="AK146" s="14">
        <f>3790*0.22</f>
        <v>833.8</v>
      </c>
    </row>
    <row r="147" spans="2:37" ht="14.25">
      <c r="B147" s="148" t="s">
        <v>215</v>
      </c>
      <c r="C147" s="72"/>
      <c r="D147" s="81"/>
      <c r="E147" s="76">
        <f aca="true" t="shared" si="51" ref="E147:AK147">+E25+E36+E47+E61+E72+E78+E89+E106+E119+E133+E138+E146</f>
        <v>16998</v>
      </c>
      <c r="F147" s="76">
        <f t="shared" si="51"/>
        <v>18316</v>
      </c>
      <c r="G147" s="76">
        <f t="shared" si="51"/>
        <v>0</v>
      </c>
      <c r="H147" s="76">
        <f t="shared" si="51"/>
        <v>0</v>
      </c>
      <c r="I147" s="76">
        <f>+I25+I36+I47+I61+I72+I78+I89+I106+I119+I133+I138+I146</f>
        <v>0</v>
      </c>
      <c r="J147" s="76">
        <f t="shared" si="51"/>
        <v>0</v>
      </c>
      <c r="K147" s="76">
        <f t="shared" si="51"/>
        <v>774</v>
      </c>
      <c r="L147" s="76">
        <f t="shared" si="51"/>
        <v>822</v>
      </c>
      <c r="M147" s="76">
        <f t="shared" si="51"/>
        <v>0</v>
      </c>
      <c r="N147" s="76">
        <f t="shared" si="51"/>
        <v>0</v>
      </c>
      <c r="O147" s="76">
        <f t="shared" si="51"/>
        <v>0</v>
      </c>
      <c r="P147" s="76">
        <f t="shared" si="51"/>
        <v>0</v>
      </c>
      <c r="Q147" s="76">
        <f t="shared" si="51"/>
        <v>0</v>
      </c>
      <c r="R147" s="76">
        <f t="shared" si="51"/>
        <v>0</v>
      </c>
      <c r="S147" s="76">
        <f t="shared" si="51"/>
        <v>0</v>
      </c>
      <c r="T147" s="76">
        <f t="shared" si="51"/>
        <v>0</v>
      </c>
      <c r="U147" s="76">
        <f t="shared" si="51"/>
        <v>0</v>
      </c>
      <c r="V147" s="76">
        <f t="shared" si="51"/>
        <v>0</v>
      </c>
      <c r="W147" s="76">
        <f t="shared" si="51"/>
        <v>1596</v>
      </c>
      <c r="X147" s="76">
        <f t="shared" si="51"/>
        <v>120</v>
      </c>
      <c r="Y147" s="76">
        <f t="shared" si="51"/>
        <v>158</v>
      </c>
      <c r="Z147" s="76">
        <f t="shared" si="51"/>
        <v>0</v>
      </c>
      <c r="AA147" s="76">
        <f t="shared" si="51"/>
        <v>0</v>
      </c>
      <c r="AB147" s="76">
        <f t="shared" si="51"/>
        <v>0</v>
      </c>
      <c r="AC147" s="76">
        <f t="shared" si="51"/>
        <v>0</v>
      </c>
      <c r="AD147" s="76">
        <f t="shared" si="51"/>
        <v>0</v>
      </c>
      <c r="AE147" s="76">
        <f t="shared" si="51"/>
        <v>0</v>
      </c>
      <c r="AF147" s="76">
        <f t="shared" si="51"/>
        <v>0</v>
      </c>
      <c r="AG147" s="76">
        <f t="shared" si="51"/>
        <v>0</v>
      </c>
      <c r="AH147" s="76">
        <f t="shared" si="51"/>
        <v>0</v>
      </c>
      <c r="AI147" s="76">
        <f t="shared" si="51"/>
        <v>0</v>
      </c>
      <c r="AJ147" s="76">
        <f t="shared" si="51"/>
        <v>278</v>
      </c>
      <c r="AK147" s="76">
        <f t="shared" si="51"/>
        <v>116941</v>
      </c>
    </row>
    <row r="148" spans="3:4" ht="14.25">
      <c r="C148" s="74"/>
      <c r="D148" s="98"/>
    </row>
  </sheetData>
  <sheetProtection/>
  <mergeCells count="23">
    <mergeCell ref="A119:B119"/>
    <mergeCell ref="D1:D10"/>
    <mergeCell ref="A133:B133"/>
    <mergeCell ref="A138:B138"/>
    <mergeCell ref="A146:B146"/>
    <mergeCell ref="A61:B61"/>
    <mergeCell ref="A72:B72"/>
    <mergeCell ref="A78:B78"/>
    <mergeCell ref="A89:B89"/>
    <mergeCell ref="A106:B106"/>
    <mergeCell ref="A25:B25"/>
    <mergeCell ref="A36:B36"/>
    <mergeCell ref="A47:B47"/>
    <mergeCell ref="A1:A10"/>
    <mergeCell ref="B1:B10"/>
    <mergeCell ref="E2:AJ9"/>
    <mergeCell ref="C1:C11"/>
    <mergeCell ref="AK2:AK9"/>
    <mergeCell ref="K10:W10"/>
    <mergeCell ref="X10:AJ10"/>
    <mergeCell ref="AK10:AK11"/>
    <mergeCell ref="E10:J10"/>
    <mergeCell ref="E1:AK1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50"/>
  <sheetViews>
    <sheetView zoomScale="80" zoomScaleNormal="8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11.421875" defaultRowHeight="15"/>
  <cols>
    <col min="1" max="1" width="20.28125" style="110" bestFit="1" customWidth="1"/>
    <col min="2" max="2" width="36.7109375" style="110" bestFit="1" customWidth="1"/>
    <col min="3" max="3" width="14.421875" style="62" customWidth="1"/>
    <col min="4" max="4" width="14.140625" style="62" customWidth="1"/>
    <col min="5" max="6" width="8.421875" style="76" bestFit="1" customWidth="1"/>
    <col min="7" max="16" width="9.7109375" style="62" bestFit="1" customWidth="1"/>
    <col min="17" max="17" width="11.7109375" style="62" bestFit="1" customWidth="1"/>
    <col min="18" max="16384" width="11.421875" style="62" customWidth="1"/>
  </cols>
  <sheetData>
    <row r="1" spans="1:19" ht="73.5" customHeight="1" thickBot="1" thickTop="1">
      <c r="A1" s="204" t="s">
        <v>0</v>
      </c>
      <c r="B1" s="198" t="s">
        <v>1</v>
      </c>
      <c r="C1" s="198" t="s">
        <v>217</v>
      </c>
      <c r="D1" s="222" t="s">
        <v>213</v>
      </c>
      <c r="E1" s="233" t="s">
        <v>293</v>
      </c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</row>
    <row r="2" spans="1:19" ht="15" customHeight="1">
      <c r="A2" s="205"/>
      <c r="B2" s="208"/>
      <c r="C2" s="199"/>
      <c r="D2" s="223"/>
      <c r="E2" s="212" t="s">
        <v>3</v>
      </c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12" t="s">
        <v>4</v>
      </c>
      <c r="S2" s="209"/>
    </row>
    <row r="3" spans="1:19" ht="15" customHeight="1">
      <c r="A3" s="205"/>
      <c r="B3" s="208"/>
      <c r="C3" s="199"/>
      <c r="D3" s="223"/>
      <c r="E3" s="214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4"/>
      <c r="S3" s="210"/>
    </row>
    <row r="4" spans="1:19" ht="15" customHeight="1">
      <c r="A4" s="205"/>
      <c r="B4" s="208"/>
      <c r="C4" s="199"/>
      <c r="D4" s="223"/>
      <c r="E4" s="214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4"/>
      <c r="S4" s="210"/>
    </row>
    <row r="5" spans="1:19" ht="15" customHeight="1">
      <c r="A5" s="205"/>
      <c r="B5" s="208"/>
      <c r="C5" s="199"/>
      <c r="D5" s="223"/>
      <c r="E5" s="214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4"/>
      <c r="S5" s="210"/>
    </row>
    <row r="6" spans="1:19" ht="15" customHeight="1">
      <c r="A6" s="205"/>
      <c r="B6" s="208"/>
      <c r="C6" s="199"/>
      <c r="D6" s="223"/>
      <c r="E6" s="214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4"/>
      <c r="S6" s="210"/>
    </row>
    <row r="7" spans="1:19" ht="15" customHeight="1">
      <c r="A7" s="205"/>
      <c r="B7" s="208"/>
      <c r="C7" s="199"/>
      <c r="D7" s="223"/>
      <c r="E7" s="214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4"/>
      <c r="S7" s="210"/>
    </row>
    <row r="8" spans="1:19" ht="15" customHeight="1">
      <c r="A8" s="205"/>
      <c r="B8" s="208"/>
      <c r="C8" s="199"/>
      <c r="D8" s="223"/>
      <c r="E8" s="214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4"/>
      <c r="S8" s="210"/>
    </row>
    <row r="9" spans="1:19" ht="15.75" customHeight="1" thickBot="1">
      <c r="A9" s="205"/>
      <c r="B9" s="208"/>
      <c r="C9" s="199"/>
      <c r="D9" s="223"/>
      <c r="E9" s="216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6"/>
      <c r="S9" s="211"/>
    </row>
    <row r="10" spans="1:19" ht="57.75" customHeight="1" thickBot="1">
      <c r="A10" s="206"/>
      <c r="B10" s="200"/>
      <c r="C10" s="199"/>
      <c r="D10" s="224"/>
      <c r="E10" s="202" t="s">
        <v>294</v>
      </c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3"/>
      <c r="R10" s="231" t="s">
        <v>295</v>
      </c>
      <c r="S10" s="231"/>
    </row>
    <row r="11" spans="1:19" ht="33" thickBot="1">
      <c r="A11" s="149"/>
      <c r="B11" s="149"/>
      <c r="C11" s="200"/>
      <c r="D11" s="140" t="s">
        <v>214</v>
      </c>
      <c r="E11" s="144" t="s">
        <v>9</v>
      </c>
      <c r="F11" s="144" t="s">
        <v>10</v>
      </c>
      <c r="G11" s="140" t="s">
        <v>11</v>
      </c>
      <c r="H11" s="140" t="s">
        <v>12</v>
      </c>
      <c r="I11" s="140" t="s">
        <v>13</v>
      </c>
      <c r="J11" s="140" t="s">
        <v>14</v>
      </c>
      <c r="K11" s="140" t="s">
        <v>15</v>
      </c>
      <c r="L11" s="140" t="s">
        <v>16</v>
      </c>
      <c r="M11" s="140" t="s">
        <v>17</v>
      </c>
      <c r="N11" s="140" t="s">
        <v>18</v>
      </c>
      <c r="O11" s="140" t="s">
        <v>19</v>
      </c>
      <c r="P11" s="140" t="s">
        <v>20</v>
      </c>
      <c r="Q11" s="140" t="s">
        <v>21</v>
      </c>
      <c r="R11" s="232"/>
      <c r="S11" s="232"/>
    </row>
    <row r="12" spans="1:17" ht="15" thickBot="1">
      <c r="A12" s="110" t="s">
        <v>78</v>
      </c>
      <c r="B12" s="103" t="s">
        <v>65</v>
      </c>
      <c r="C12" s="63"/>
      <c r="D12" s="63"/>
      <c r="E12" s="122"/>
      <c r="F12" s="122"/>
      <c r="G12" s="101"/>
      <c r="H12" s="101"/>
      <c r="I12" s="101"/>
      <c r="J12" s="101"/>
      <c r="K12" s="101"/>
      <c r="L12" s="109"/>
      <c r="M12" s="109"/>
      <c r="N12" s="109"/>
      <c r="O12" s="109"/>
      <c r="Q12" s="17">
        <f>SUM(E12:P12)</f>
        <v>0</v>
      </c>
    </row>
    <row r="13" spans="1:17" ht="15" thickBot="1">
      <c r="A13" s="110" t="s">
        <v>78</v>
      </c>
      <c r="B13" s="103" t="s">
        <v>66</v>
      </c>
      <c r="C13" s="63"/>
      <c r="D13" s="63"/>
      <c r="E13" s="122"/>
      <c r="F13" s="122">
        <v>6</v>
      </c>
      <c r="G13" s="101"/>
      <c r="H13" s="101"/>
      <c r="I13" s="101"/>
      <c r="J13" s="101"/>
      <c r="K13" s="101"/>
      <c r="L13" s="109"/>
      <c r="M13" s="109"/>
      <c r="N13" s="109"/>
      <c r="O13" s="109"/>
      <c r="Q13" s="17">
        <f aca="true" t="shared" si="0" ref="Q13:Q24">SUM(E13:P13)</f>
        <v>6</v>
      </c>
    </row>
    <row r="14" spans="1:17" ht="15" thickBot="1">
      <c r="A14" s="110" t="s">
        <v>78</v>
      </c>
      <c r="B14" s="103" t="s">
        <v>67</v>
      </c>
      <c r="C14" s="63"/>
      <c r="D14" s="63"/>
      <c r="E14" s="122"/>
      <c r="F14" s="122"/>
      <c r="G14" s="101"/>
      <c r="H14" s="101"/>
      <c r="I14" s="101"/>
      <c r="J14" s="101"/>
      <c r="K14" s="101"/>
      <c r="L14" s="109"/>
      <c r="M14" s="109"/>
      <c r="N14" s="109"/>
      <c r="O14" s="109"/>
      <c r="Q14" s="17">
        <f t="shared" si="0"/>
        <v>0</v>
      </c>
    </row>
    <row r="15" spans="1:17" ht="15" thickBot="1">
      <c r="A15" s="110" t="s">
        <v>78</v>
      </c>
      <c r="B15" s="103" t="s">
        <v>68</v>
      </c>
      <c r="C15" s="63"/>
      <c r="D15" s="63"/>
      <c r="E15" s="122"/>
      <c r="F15" s="122"/>
      <c r="G15" s="101"/>
      <c r="H15" s="101"/>
      <c r="I15" s="101"/>
      <c r="J15" s="101"/>
      <c r="K15" s="101"/>
      <c r="L15" s="109"/>
      <c r="M15" s="109"/>
      <c r="N15" s="109"/>
      <c r="O15" s="109"/>
      <c r="Q15" s="17">
        <f t="shared" si="0"/>
        <v>0</v>
      </c>
    </row>
    <row r="16" spans="1:17" ht="15" thickBot="1">
      <c r="A16" s="110" t="s">
        <v>78</v>
      </c>
      <c r="B16" s="103" t="s">
        <v>69</v>
      </c>
      <c r="C16" s="66"/>
      <c r="D16" s="63"/>
      <c r="E16" s="122"/>
      <c r="F16" s="122"/>
      <c r="G16" s="101"/>
      <c r="H16" s="101"/>
      <c r="I16" s="101"/>
      <c r="J16" s="101"/>
      <c r="K16" s="101"/>
      <c r="L16" s="109"/>
      <c r="M16" s="109"/>
      <c r="N16" s="109"/>
      <c r="O16" s="109"/>
      <c r="Q16" s="17">
        <f t="shared" si="0"/>
        <v>0</v>
      </c>
    </row>
    <row r="17" spans="1:17" ht="15" thickBot="1">
      <c r="A17" s="110" t="s">
        <v>78</v>
      </c>
      <c r="B17" s="103" t="s">
        <v>70</v>
      </c>
      <c r="C17" s="63"/>
      <c r="D17" s="63"/>
      <c r="E17" s="122"/>
      <c r="F17" s="122"/>
      <c r="G17" s="101"/>
      <c r="H17" s="101"/>
      <c r="I17" s="101"/>
      <c r="J17" s="101"/>
      <c r="K17" s="101"/>
      <c r="L17" s="109"/>
      <c r="M17" s="109"/>
      <c r="N17" s="109"/>
      <c r="O17" s="109"/>
      <c r="Q17" s="17">
        <f t="shared" si="0"/>
        <v>0</v>
      </c>
    </row>
    <row r="18" spans="1:17" ht="15" thickBot="1">
      <c r="A18" s="110" t="s">
        <v>78</v>
      </c>
      <c r="B18" s="103" t="s">
        <v>71</v>
      </c>
      <c r="C18" s="63"/>
      <c r="D18" s="63"/>
      <c r="E18" s="122"/>
      <c r="F18" s="122"/>
      <c r="G18" s="101"/>
      <c r="H18" s="101"/>
      <c r="I18" s="101"/>
      <c r="J18" s="101"/>
      <c r="K18" s="101"/>
      <c r="L18" s="109"/>
      <c r="M18" s="109"/>
      <c r="N18" s="109"/>
      <c r="O18" s="109"/>
      <c r="Q18" s="17">
        <f t="shared" si="0"/>
        <v>0</v>
      </c>
    </row>
    <row r="19" spans="1:17" ht="15" thickBot="1">
      <c r="A19" s="110" t="s">
        <v>78</v>
      </c>
      <c r="B19" s="103" t="s">
        <v>72</v>
      </c>
      <c r="C19" s="63"/>
      <c r="D19" s="63"/>
      <c r="E19" s="122"/>
      <c r="F19" s="122"/>
      <c r="G19" s="101"/>
      <c r="H19" s="101"/>
      <c r="I19" s="101"/>
      <c r="J19" s="101"/>
      <c r="K19" s="101"/>
      <c r="L19" s="109"/>
      <c r="M19" s="109"/>
      <c r="N19" s="109"/>
      <c r="O19" s="109"/>
      <c r="Q19" s="17">
        <f t="shared" si="0"/>
        <v>0</v>
      </c>
    </row>
    <row r="20" spans="1:17" ht="15" thickBot="1">
      <c r="A20" s="110" t="s">
        <v>78</v>
      </c>
      <c r="B20" s="103" t="s">
        <v>73</v>
      </c>
      <c r="C20" s="63"/>
      <c r="D20" s="63"/>
      <c r="E20" s="122"/>
      <c r="F20" s="122"/>
      <c r="G20" s="101"/>
      <c r="H20" s="101"/>
      <c r="I20" s="101"/>
      <c r="J20" s="101"/>
      <c r="K20" s="101"/>
      <c r="L20" s="109"/>
      <c r="M20" s="109"/>
      <c r="N20" s="109"/>
      <c r="O20" s="109"/>
      <c r="Q20" s="17">
        <f t="shared" si="0"/>
        <v>0</v>
      </c>
    </row>
    <row r="21" spans="1:17" ht="15" thickBot="1">
      <c r="A21" s="110" t="s">
        <v>78</v>
      </c>
      <c r="B21" s="103" t="s">
        <v>74</v>
      </c>
      <c r="C21" s="67"/>
      <c r="D21" s="63"/>
      <c r="E21" s="122"/>
      <c r="F21" s="122"/>
      <c r="G21" s="101"/>
      <c r="H21" s="101"/>
      <c r="I21" s="101"/>
      <c r="J21" s="101"/>
      <c r="K21" s="101"/>
      <c r="L21" s="109"/>
      <c r="M21" s="109"/>
      <c r="N21" s="109"/>
      <c r="O21" s="109"/>
      <c r="Q21" s="17">
        <f t="shared" si="0"/>
        <v>0</v>
      </c>
    </row>
    <row r="22" spans="1:17" ht="15" thickBot="1">
      <c r="A22" s="110" t="s">
        <v>78</v>
      </c>
      <c r="B22" s="103" t="s">
        <v>75</v>
      </c>
      <c r="C22" s="63"/>
      <c r="D22" s="63"/>
      <c r="E22" s="122"/>
      <c r="F22" s="122"/>
      <c r="G22" s="101"/>
      <c r="H22" s="101"/>
      <c r="I22" s="101"/>
      <c r="J22" s="101"/>
      <c r="K22" s="101"/>
      <c r="L22" s="109"/>
      <c r="M22" s="109"/>
      <c r="N22" s="109"/>
      <c r="O22" s="109"/>
      <c r="Q22" s="17">
        <f t="shared" si="0"/>
        <v>0</v>
      </c>
    </row>
    <row r="23" spans="1:17" ht="15" thickBot="1">
      <c r="A23" s="110" t="s">
        <v>78</v>
      </c>
      <c r="B23" s="103" t="s">
        <v>76</v>
      </c>
      <c r="C23" s="63"/>
      <c r="D23" s="63"/>
      <c r="E23" s="84"/>
      <c r="F23" s="84"/>
      <c r="G23" s="64"/>
      <c r="H23" s="64"/>
      <c r="I23" s="64"/>
      <c r="J23" s="64"/>
      <c r="K23" s="64"/>
      <c r="Q23" s="17">
        <f>SUM(E23:P23)</f>
        <v>0</v>
      </c>
    </row>
    <row r="24" spans="1:17" ht="15" thickBot="1">
      <c r="A24" s="110" t="s">
        <v>78</v>
      </c>
      <c r="B24" s="103" t="s">
        <v>77</v>
      </c>
      <c r="C24" s="63"/>
      <c r="D24" s="63"/>
      <c r="E24" s="84"/>
      <c r="F24" s="84"/>
      <c r="G24" s="64"/>
      <c r="H24" s="64"/>
      <c r="I24" s="64"/>
      <c r="J24" s="64"/>
      <c r="K24" s="64"/>
      <c r="Q24" s="17">
        <f t="shared" si="0"/>
        <v>0</v>
      </c>
    </row>
    <row r="25" spans="1:19" s="65" customFormat="1" ht="15" thickBot="1">
      <c r="A25" s="196" t="s">
        <v>200</v>
      </c>
      <c r="B25" s="197"/>
      <c r="C25" s="45">
        <f>+D25/Metas!S30</f>
        <v>0.03459549220736538</v>
      </c>
      <c r="D25" s="19">
        <f>+Q25/R25</f>
        <v>0.00044974139869574995</v>
      </c>
      <c r="E25" s="85">
        <f>SUM(E12:E24)</f>
        <v>0</v>
      </c>
      <c r="F25" s="85">
        <f aca="true" t="shared" si="1" ref="F25:P25">SUM(F12:F24)</f>
        <v>6</v>
      </c>
      <c r="G25" s="75">
        <f t="shared" si="1"/>
        <v>0</v>
      </c>
      <c r="H25" s="75">
        <f t="shared" si="1"/>
        <v>0</v>
      </c>
      <c r="I25" s="75">
        <f t="shared" si="1"/>
        <v>0</v>
      </c>
      <c r="J25" s="75">
        <f t="shared" si="1"/>
        <v>0</v>
      </c>
      <c r="K25" s="75">
        <f t="shared" si="1"/>
        <v>0</v>
      </c>
      <c r="L25" s="75">
        <f t="shared" si="1"/>
        <v>0</v>
      </c>
      <c r="M25" s="75">
        <f t="shared" si="1"/>
        <v>0</v>
      </c>
      <c r="N25" s="75">
        <f t="shared" si="1"/>
        <v>0</v>
      </c>
      <c r="O25" s="75">
        <f t="shared" si="1"/>
        <v>0</v>
      </c>
      <c r="P25" s="75">
        <f t="shared" si="1"/>
        <v>0</v>
      </c>
      <c r="Q25" s="14">
        <f>SUM(Q12:Q24)</f>
        <v>6</v>
      </c>
      <c r="R25" s="237">
        <v>13341</v>
      </c>
      <c r="S25" s="238"/>
    </row>
    <row r="26" spans="1:17" ht="15" thickBot="1">
      <c r="A26" s="110" t="s">
        <v>79</v>
      </c>
      <c r="B26" s="103" t="s">
        <v>80</v>
      </c>
      <c r="C26" s="63"/>
      <c r="D26" s="63"/>
      <c r="E26" s="122"/>
      <c r="F26" s="122"/>
      <c r="G26" s="101"/>
      <c r="H26" s="101"/>
      <c r="I26" s="101"/>
      <c r="J26" s="101"/>
      <c r="K26" s="101"/>
      <c r="L26" s="109"/>
      <c r="M26" s="109"/>
      <c r="N26" s="109"/>
      <c r="O26" s="109"/>
      <c r="Q26" s="17">
        <f aca="true" t="shared" si="2" ref="Q26:Q57">SUM(E26:P26)</f>
        <v>0</v>
      </c>
    </row>
    <row r="27" spans="1:17" ht="15" thickBot="1">
      <c r="A27" s="110" t="s">
        <v>79</v>
      </c>
      <c r="B27" s="103" t="s">
        <v>81</v>
      </c>
      <c r="C27" s="63"/>
      <c r="D27" s="63"/>
      <c r="E27" s="122">
        <v>12</v>
      </c>
      <c r="F27" s="122">
        <v>8</v>
      </c>
      <c r="G27" s="101"/>
      <c r="H27" s="101"/>
      <c r="I27" s="101"/>
      <c r="J27" s="101"/>
      <c r="K27" s="101"/>
      <c r="L27" s="109"/>
      <c r="M27" s="109"/>
      <c r="N27" s="109"/>
      <c r="O27" s="109"/>
      <c r="Q27" s="17">
        <f t="shared" si="2"/>
        <v>20</v>
      </c>
    </row>
    <row r="28" spans="1:17" ht="15" thickBot="1">
      <c r="A28" s="110" t="s">
        <v>79</v>
      </c>
      <c r="B28" s="103" t="s">
        <v>82</v>
      </c>
      <c r="C28" s="63"/>
      <c r="D28" s="63"/>
      <c r="E28" s="122"/>
      <c r="F28" s="122"/>
      <c r="G28" s="101"/>
      <c r="H28" s="101"/>
      <c r="I28" s="101"/>
      <c r="J28" s="101"/>
      <c r="K28" s="101"/>
      <c r="L28" s="109"/>
      <c r="M28" s="109"/>
      <c r="N28" s="109"/>
      <c r="O28" s="109"/>
      <c r="Q28" s="17">
        <f t="shared" si="2"/>
        <v>0</v>
      </c>
    </row>
    <row r="29" spans="1:17" ht="15" thickBot="1">
      <c r="A29" s="110" t="s">
        <v>79</v>
      </c>
      <c r="B29" s="103" t="s">
        <v>83</v>
      </c>
      <c r="C29" s="63"/>
      <c r="D29" s="63"/>
      <c r="E29" s="122"/>
      <c r="F29" s="122"/>
      <c r="G29" s="101"/>
      <c r="H29" s="101"/>
      <c r="I29" s="101"/>
      <c r="J29" s="101"/>
      <c r="K29" s="101"/>
      <c r="L29" s="109"/>
      <c r="M29" s="109"/>
      <c r="N29" s="109"/>
      <c r="O29" s="109"/>
      <c r="Q29" s="17">
        <f t="shared" si="2"/>
        <v>0</v>
      </c>
    </row>
    <row r="30" spans="1:17" ht="15" thickBot="1">
      <c r="A30" s="110" t="s">
        <v>79</v>
      </c>
      <c r="B30" s="103" t="s">
        <v>84</v>
      </c>
      <c r="C30" s="63"/>
      <c r="D30" s="63"/>
      <c r="E30" s="122">
        <v>5</v>
      </c>
      <c r="F30" s="122">
        <v>3</v>
      </c>
      <c r="G30" s="101"/>
      <c r="H30" s="101"/>
      <c r="I30" s="101"/>
      <c r="J30" s="101"/>
      <c r="K30" s="101"/>
      <c r="L30" s="109"/>
      <c r="M30" s="109"/>
      <c r="N30" s="109"/>
      <c r="O30" s="109"/>
      <c r="Q30" s="17">
        <f t="shared" si="2"/>
        <v>8</v>
      </c>
    </row>
    <row r="31" spans="1:17" ht="15" thickBot="1">
      <c r="A31" s="110" t="s">
        <v>79</v>
      </c>
      <c r="B31" s="103" t="s">
        <v>85</v>
      </c>
      <c r="C31" s="63"/>
      <c r="D31" s="63"/>
      <c r="E31" s="122"/>
      <c r="F31" s="122"/>
      <c r="G31" s="101"/>
      <c r="H31" s="101"/>
      <c r="I31" s="101"/>
      <c r="J31" s="101"/>
      <c r="K31" s="101"/>
      <c r="L31" s="109"/>
      <c r="M31" s="109"/>
      <c r="N31" s="109"/>
      <c r="O31" s="109"/>
      <c r="Q31" s="17">
        <f t="shared" si="2"/>
        <v>0</v>
      </c>
    </row>
    <row r="32" spans="1:17" ht="15" thickBot="1">
      <c r="A32" s="110" t="s">
        <v>79</v>
      </c>
      <c r="B32" s="103" t="s">
        <v>86</v>
      </c>
      <c r="C32" s="63"/>
      <c r="D32" s="63"/>
      <c r="E32" s="122"/>
      <c r="F32" s="122"/>
      <c r="G32" s="101"/>
      <c r="H32" s="101"/>
      <c r="I32" s="101"/>
      <c r="J32" s="101"/>
      <c r="K32" s="101"/>
      <c r="L32" s="109"/>
      <c r="M32" s="109"/>
      <c r="N32" s="109"/>
      <c r="O32" s="109"/>
      <c r="Q32" s="17">
        <f t="shared" si="2"/>
        <v>0</v>
      </c>
    </row>
    <row r="33" spans="1:17" ht="15" thickBot="1">
      <c r="A33" s="110" t="s">
        <v>79</v>
      </c>
      <c r="B33" s="103" t="s">
        <v>87</v>
      </c>
      <c r="C33" s="63"/>
      <c r="D33" s="63"/>
      <c r="E33" s="122"/>
      <c r="F33" s="122"/>
      <c r="G33" s="101"/>
      <c r="H33" s="101"/>
      <c r="I33" s="101"/>
      <c r="J33" s="101"/>
      <c r="K33" s="101"/>
      <c r="L33" s="109"/>
      <c r="M33" s="109"/>
      <c r="N33" s="109"/>
      <c r="O33" s="109"/>
      <c r="Q33" s="17">
        <f t="shared" si="2"/>
        <v>0</v>
      </c>
    </row>
    <row r="34" spans="1:17" ht="15" thickBot="1">
      <c r="A34" s="110" t="s">
        <v>79</v>
      </c>
      <c r="B34" s="103" t="s">
        <v>88</v>
      </c>
      <c r="C34" s="63"/>
      <c r="D34" s="63"/>
      <c r="E34" s="122"/>
      <c r="F34" s="122"/>
      <c r="G34" s="101"/>
      <c r="H34" s="101"/>
      <c r="I34" s="101"/>
      <c r="J34" s="101"/>
      <c r="K34" s="101"/>
      <c r="L34" s="109"/>
      <c r="M34" s="109"/>
      <c r="N34" s="109"/>
      <c r="O34" s="109"/>
      <c r="Q34" s="17">
        <f t="shared" si="2"/>
        <v>0</v>
      </c>
    </row>
    <row r="35" spans="1:17" ht="15" thickBot="1">
      <c r="A35" s="110" t="s">
        <v>79</v>
      </c>
      <c r="B35" s="103" t="s">
        <v>89</v>
      </c>
      <c r="C35" s="63"/>
      <c r="D35" s="63"/>
      <c r="E35" s="122"/>
      <c r="F35" s="122"/>
      <c r="G35" s="101"/>
      <c r="H35" s="101"/>
      <c r="I35" s="101"/>
      <c r="J35" s="101"/>
      <c r="K35" s="101"/>
      <c r="L35" s="109"/>
      <c r="M35" s="109"/>
      <c r="N35" s="109"/>
      <c r="O35" s="109"/>
      <c r="Q35" s="17">
        <f t="shared" si="2"/>
        <v>0</v>
      </c>
    </row>
    <row r="36" spans="1:19" s="65" customFormat="1" ht="15" thickBot="1">
      <c r="A36" s="196" t="s">
        <v>201</v>
      </c>
      <c r="B36" s="197"/>
      <c r="C36" s="45">
        <f>+D36/Metas!S28</f>
        <v>0.1643655489809336</v>
      </c>
      <c r="D36" s="19">
        <f>+Q36/R36</f>
        <v>0.002136752136752137</v>
      </c>
      <c r="E36" s="85">
        <f aca="true" t="shared" si="3" ref="E36:Q36">SUM(E26:E35)</f>
        <v>17</v>
      </c>
      <c r="F36" s="85">
        <f t="shared" si="3"/>
        <v>11</v>
      </c>
      <c r="G36" s="85">
        <f t="shared" si="3"/>
        <v>0</v>
      </c>
      <c r="H36" s="85">
        <f t="shared" si="3"/>
        <v>0</v>
      </c>
      <c r="I36" s="85">
        <f t="shared" si="3"/>
        <v>0</v>
      </c>
      <c r="J36" s="85">
        <f t="shared" si="3"/>
        <v>0</v>
      </c>
      <c r="K36" s="85">
        <f t="shared" si="3"/>
        <v>0</v>
      </c>
      <c r="L36" s="85">
        <f t="shared" si="3"/>
        <v>0</v>
      </c>
      <c r="M36" s="85">
        <f t="shared" si="3"/>
        <v>0</v>
      </c>
      <c r="N36" s="85">
        <f t="shared" si="3"/>
        <v>0</v>
      </c>
      <c r="O36" s="85">
        <f t="shared" si="3"/>
        <v>0</v>
      </c>
      <c r="P36" s="85">
        <f t="shared" si="3"/>
        <v>0</v>
      </c>
      <c r="Q36" s="14">
        <f t="shared" si="3"/>
        <v>28</v>
      </c>
      <c r="R36" s="239">
        <v>13104</v>
      </c>
      <c r="S36" s="240"/>
    </row>
    <row r="37" spans="1:17" ht="15" thickBot="1">
      <c r="A37" s="110" t="s">
        <v>100</v>
      </c>
      <c r="B37" s="103" t="s">
        <v>90</v>
      </c>
      <c r="C37" s="63"/>
      <c r="D37" s="63"/>
      <c r="E37" s="122"/>
      <c r="F37" s="122"/>
      <c r="G37" s="101"/>
      <c r="H37" s="101"/>
      <c r="I37" s="101"/>
      <c r="J37" s="101"/>
      <c r="K37" s="101"/>
      <c r="L37" s="109"/>
      <c r="M37" s="109"/>
      <c r="N37" s="109"/>
      <c r="O37" s="109"/>
      <c r="P37" s="109"/>
      <c r="Q37" s="17">
        <f t="shared" si="2"/>
        <v>0</v>
      </c>
    </row>
    <row r="38" spans="1:17" ht="15" thickBot="1">
      <c r="A38" s="110" t="s">
        <v>100</v>
      </c>
      <c r="B38" s="103" t="s">
        <v>91</v>
      </c>
      <c r="C38" s="63"/>
      <c r="D38" s="63"/>
      <c r="E38" s="122"/>
      <c r="F38" s="122"/>
      <c r="G38" s="101"/>
      <c r="H38" s="101"/>
      <c r="I38" s="101"/>
      <c r="J38" s="101"/>
      <c r="K38" s="101"/>
      <c r="L38" s="109"/>
      <c r="M38" s="109"/>
      <c r="N38" s="109"/>
      <c r="O38" s="109"/>
      <c r="P38" s="109"/>
      <c r="Q38" s="17">
        <f t="shared" si="2"/>
        <v>0</v>
      </c>
    </row>
    <row r="39" spans="1:17" ht="15" thickBot="1">
      <c r="A39" s="110" t="s">
        <v>100</v>
      </c>
      <c r="B39" s="103" t="s">
        <v>92</v>
      </c>
      <c r="C39" s="63"/>
      <c r="D39" s="63"/>
      <c r="E39" s="122"/>
      <c r="F39" s="122"/>
      <c r="G39" s="101"/>
      <c r="H39" s="101"/>
      <c r="I39" s="101"/>
      <c r="J39" s="101"/>
      <c r="K39" s="101"/>
      <c r="L39" s="109"/>
      <c r="M39" s="109"/>
      <c r="N39" s="109"/>
      <c r="O39" s="109"/>
      <c r="P39" s="109"/>
      <c r="Q39" s="17">
        <f t="shared" si="2"/>
        <v>0</v>
      </c>
    </row>
    <row r="40" spans="1:17" ht="15" thickBot="1">
      <c r="A40" s="110" t="s">
        <v>100</v>
      </c>
      <c r="B40" s="103" t="s">
        <v>93</v>
      </c>
      <c r="C40" s="63"/>
      <c r="D40" s="63"/>
      <c r="E40" s="122"/>
      <c r="F40" s="122"/>
      <c r="G40" s="101"/>
      <c r="H40" s="101"/>
      <c r="I40" s="101"/>
      <c r="J40" s="101"/>
      <c r="K40" s="101"/>
      <c r="L40" s="109"/>
      <c r="M40" s="109"/>
      <c r="N40" s="109"/>
      <c r="O40" s="109"/>
      <c r="P40" s="109"/>
      <c r="Q40" s="17">
        <f t="shared" si="2"/>
        <v>0</v>
      </c>
    </row>
    <row r="41" spans="1:17" ht="15" thickBot="1">
      <c r="A41" s="110" t="s">
        <v>100</v>
      </c>
      <c r="B41" s="103" t="s">
        <v>94</v>
      </c>
      <c r="C41" s="63"/>
      <c r="D41" s="63"/>
      <c r="E41" s="122"/>
      <c r="F41" s="122"/>
      <c r="G41" s="101"/>
      <c r="H41" s="101"/>
      <c r="I41" s="101"/>
      <c r="J41" s="101"/>
      <c r="K41" s="101"/>
      <c r="L41" s="109"/>
      <c r="M41" s="109"/>
      <c r="N41" s="109"/>
      <c r="O41" s="109"/>
      <c r="P41" s="109"/>
      <c r="Q41" s="17">
        <f t="shared" si="2"/>
        <v>0</v>
      </c>
    </row>
    <row r="42" spans="1:17" ht="15" thickBot="1">
      <c r="A42" s="110" t="s">
        <v>100</v>
      </c>
      <c r="B42" s="103" t="s">
        <v>95</v>
      </c>
      <c r="C42" s="63"/>
      <c r="D42" s="63"/>
      <c r="E42" s="122"/>
      <c r="F42" s="122"/>
      <c r="G42" s="101"/>
      <c r="H42" s="101"/>
      <c r="I42" s="101"/>
      <c r="J42" s="101"/>
      <c r="K42" s="101"/>
      <c r="L42" s="109"/>
      <c r="M42" s="109"/>
      <c r="N42" s="109"/>
      <c r="O42" s="109"/>
      <c r="P42" s="109"/>
      <c r="Q42" s="17">
        <f t="shared" si="2"/>
        <v>0</v>
      </c>
    </row>
    <row r="43" spans="1:17" ht="15" thickBot="1">
      <c r="A43" s="110" t="s">
        <v>100</v>
      </c>
      <c r="B43" s="103" t="s">
        <v>96</v>
      </c>
      <c r="C43" s="63"/>
      <c r="D43" s="63"/>
      <c r="E43" s="122"/>
      <c r="F43" s="122"/>
      <c r="G43" s="101"/>
      <c r="H43" s="101"/>
      <c r="I43" s="101"/>
      <c r="J43" s="101"/>
      <c r="K43" s="101"/>
      <c r="L43" s="109"/>
      <c r="M43" s="109"/>
      <c r="N43" s="109"/>
      <c r="O43" s="109"/>
      <c r="P43" s="109"/>
      <c r="Q43" s="17">
        <f t="shared" si="2"/>
        <v>0</v>
      </c>
    </row>
    <row r="44" spans="1:17" ht="15" thickBot="1">
      <c r="A44" s="110" t="s">
        <v>100</v>
      </c>
      <c r="B44" s="103" t="s">
        <v>97</v>
      </c>
      <c r="C44" s="63"/>
      <c r="D44" s="63"/>
      <c r="E44" s="122"/>
      <c r="F44" s="122"/>
      <c r="G44" s="101"/>
      <c r="H44" s="101"/>
      <c r="I44" s="101"/>
      <c r="J44" s="101"/>
      <c r="K44" s="101"/>
      <c r="L44" s="109"/>
      <c r="M44" s="109"/>
      <c r="N44" s="109"/>
      <c r="O44" s="109"/>
      <c r="P44" s="109"/>
      <c r="Q44" s="17">
        <f t="shared" si="2"/>
        <v>0</v>
      </c>
    </row>
    <row r="45" spans="1:17" ht="15" thickBot="1">
      <c r="A45" s="110" t="s">
        <v>100</v>
      </c>
      <c r="B45" s="103" t="s">
        <v>98</v>
      </c>
      <c r="C45" s="63"/>
      <c r="D45" s="63"/>
      <c r="E45" s="122"/>
      <c r="F45" s="122"/>
      <c r="G45" s="101"/>
      <c r="H45" s="101"/>
      <c r="I45" s="101"/>
      <c r="J45" s="101"/>
      <c r="K45" s="101"/>
      <c r="L45" s="109"/>
      <c r="M45" s="109"/>
      <c r="N45" s="109"/>
      <c r="O45" s="109"/>
      <c r="P45" s="109"/>
      <c r="Q45" s="17">
        <f t="shared" si="2"/>
        <v>0</v>
      </c>
    </row>
    <row r="46" spans="1:17" ht="15" thickBot="1">
      <c r="A46" s="110" t="s">
        <v>100</v>
      </c>
      <c r="B46" s="103" t="s">
        <v>99</v>
      </c>
      <c r="C46" s="63"/>
      <c r="D46" s="6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09"/>
      <c r="P46" s="109"/>
      <c r="Q46" s="17">
        <f t="shared" si="2"/>
        <v>0</v>
      </c>
    </row>
    <row r="47" spans="1:19" s="65" customFormat="1" ht="15" thickBot="1">
      <c r="A47" s="196" t="s">
        <v>202</v>
      </c>
      <c r="B47" s="197"/>
      <c r="C47" s="45">
        <f>+D47/Metas!S37</f>
        <v>0</v>
      </c>
      <c r="D47" s="19">
        <f>+Q47/R47</f>
        <v>0</v>
      </c>
      <c r="E47" s="85">
        <f>SUM(E37:E46)</f>
        <v>0</v>
      </c>
      <c r="F47" s="85">
        <f aca="true" t="shared" si="4" ref="F47:P47">SUM(F37:F46)</f>
        <v>0</v>
      </c>
      <c r="G47" s="85">
        <f t="shared" si="4"/>
        <v>0</v>
      </c>
      <c r="H47" s="85">
        <f t="shared" si="4"/>
        <v>0</v>
      </c>
      <c r="I47" s="85">
        <f t="shared" si="4"/>
        <v>0</v>
      </c>
      <c r="J47" s="85">
        <f t="shared" si="4"/>
        <v>0</v>
      </c>
      <c r="K47" s="85">
        <f t="shared" si="4"/>
        <v>0</v>
      </c>
      <c r="L47" s="85">
        <f t="shared" si="4"/>
        <v>0</v>
      </c>
      <c r="M47" s="85">
        <f t="shared" si="4"/>
        <v>0</v>
      </c>
      <c r="N47" s="85">
        <f t="shared" si="4"/>
        <v>0</v>
      </c>
      <c r="O47" s="85">
        <f t="shared" si="4"/>
        <v>0</v>
      </c>
      <c r="P47" s="85">
        <f t="shared" si="4"/>
        <v>0</v>
      </c>
      <c r="Q47" s="14">
        <f>SUM(Q37:Q46)</f>
        <v>0</v>
      </c>
      <c r="R47" s="239">
        <v>829</v>
      </c>
      <c r="S47" s="240"/>
    </row>
    <row r="48" spans="1:17" ht="15" thickBot="1">
      <c r="A48" s="110" t="s">
        <v>114</v>
      </c>
      <c r="B48" s="103" t="s">
        <v>101</v>
      </c>
      <c r="C48" s="63"/>
      <c r="D48" s="63"/>
      <c r="E48" s="122"/>
      <c r="F48" s="122"/>
      <c r="G48" s="101"/>
      <c r="H48" s="101"/>
      <c r="I48" s="101"/>
      <c r="J48" s="101"/>
      <c r="K48" s="101"/>
      <c r="L48" s="109"/>
      <c r="M48" s="109"/>
      <c r="N48" s="109"/>
      <c r="O48" s="109"/>
      <c r="P48" s="109"/>
      <c r="Q48" s="17">
        <f t="shared" si="2"/>
        <v>0</v>
      </c>
    </row>
    <row r="49" spans="1:17" ht="15" thickBot="1">
      <c r="A49" s="110" t="s">
        <v>114</v>
      </c>
      <c r="B49" s="103" t="s">
        <v>102</v>
      </c>
      <c r="C49" s="63"/>
      <c r="D49" s="63"/>
      <c r="E49" s="122"/>
      <c r="F49" s="122"/>
      <c r="G49" s="101"/>
      <c r="H49" s="101"/>
      <c r="I49" s="101"/>
      <c r="J49" s="101"/>
      <c r="K49" s="101"/>
      <c r="L49" s="109"/>
      <c r="M49" s="109"/>
      <c r="N49" s="109"/>
      <c r="O49" s="109"/>
      <c r="P49" s="109"/>
      <c r="Q49" s="17">
        <f t="shared" si="2"/>
        <v>0</v>
      </c>
    </row>
    <row r="50" spans="1:17" ht="15" thickBot="1">
      <c r="A50" s="110" t="s">
        <v>114</v>
      </c>
      <c r="B50" s="103" t="s">
        <v>103</v>
      </c>
      <c r="C50" s="63"/>
      <c r="D50" s="63"/>
      <c r="E50" s="122"/>
      <c r="F50" s="122"/>
      <c r="G50" s="101"/>
      <c r="H50" s="101"/>
      <c r="I50" s="101"/>
      <c r="J50" s="101"/>
      <c r="K50" s="101"/>
      <c r="L50" s="109"/>
      <c r="M50" s="109"/>
      <c r="N50" s="109"/>
      <c r="O50" s="109"/>
      <c r="P50" s="109"/>
      <c r="Q50" s="17">
        <f t="shared" si="2"/>
        <v>0</v>
      </c>
    </row>
    <row r="51" spans="1:17" ht="15" thickBot="1">
      <c r="A51" s="110" t="s">
        <v>114</v>
      </c>
      <c r="B51" s="103" t="s">
        <v>104</v>
      </c>
      <c r="C51" s="63"/>
      <c r="D51" s="63"/>
      <c r="E51" s="122"/>
      <c r="F51" s="122"/>
      <c r="G51" s="101"/>
      <c r="H51" s="101"/>
      <c r="I51" s="101"/>
      <c r="J51" s="101"/>
      <c r="K51" s="101"/>
      <c r="L51" s="109"/>
      <c r="M51" s="109"/>
      <c r="N51" s="109"/>
      <c r="O51" s="109"/>
      <c r="P51" s="109"/>
      <c r="Q51" s="17">
        <f t="shared" si="2"/>
        <v>0</v>
      </c>
    </row>
    <row r="52" spans="1:17" ht="15" thickBot="1">
      <c r="A52" s="110" t="s">
        <v>114</v>
      </c>
      <c r="B52" s="103" t="s">
        <v>105</v>
      </c>
      <c r="C52" s="63"/>
      <c r="D52" s="63"/>
      <c r="E52" s="122"/>
      <c r="F52" s="122"/>
      <c r="G52" s="101"/>
      <c r="H52" s="101"/>
      <c r="I52" s="101"/>
      <c r="J52" s="101"/>
      <c r="K52" s="101"/>
      <c r="L52" s="109"/>
      <c r="M52" s="109"/>
      <c r="N52" s="109"/>
      <c r="O52" s="109"/>
      <c r="P52" s="109"/>
      <c r="Q52" s="17">
        <f t="shared" si="2"/>
        <v>0</v>
      </c>
    </row>
    <row r="53" spans="1:17" ht="15" thickBot="1">
      <c r="A53" s="110" t="s">
        <v>114</v>
      </c>
      <c r="B53" s="103" t="s">
        <v>106</v>
      </c>
      <c r="C53" s="63"/>
      <c r="D53" s="63"/>
      <c r="E53" s="122"/>
      <c r="F53" s="122"/>
      <c r="G53" s="101"/>
      <c r="H53" s="101"/>
      <c r="I53" s="101"/>
      <c r="J53" s="101"/>
      <c r="K53" s="101"/>
      <c r="L53" s="109"/>
      <c r="M53" s="109"/>
      <c r="N53" s="109"/>
      <c r="O53" s="109"/>
      <c r="P53" s="109"/>
      <c r="Q53" s="17">
        <f t="shared" si="2"/>
        <v>0</v>
      </c>
    </row>
    <row r="54" spans="1:17" ht="15" thickBot="1">
      <c r="A54" s="110" t="s">
        <v>114</v>
      </c>
      <c r="B54" s="103" t="s">
        <v>107</v>
      </c>
      <c r="C54" s="63"/>
      <c r="D54" s="63"/>
      <c r="E54" s="122"/>
      <c r="F54" s="122"/>
      <c r="G54" s="101"/>
      <c r="H54" s="101"/>
      <c r="I54" s="101"/>
      <c r="J54" s="101"/>
      <c r="K54" s="101"/>
      <c r="L54" s="109"/>
      <c r="M54" s="109"/>
      <c r="N54" s="109"/>
      <c r="O54" s="109"/>
      <c r="P54" s="109"/>
      <c r="Q54" s="17">
        <f t="shared" si="2"/>
        <v>0</v>
      </c>
    </row>
    <row r="55" spans="1:17" ht="15" thickBot="1">
      <c r="A55" s="110" t="s">
        <v>114</v>
      </c>
      <c r="B55" s="103" t="s">
        <v>108</v>
      </c>
      <c r="C55" s="63"/>
      <c r="D55" s="63"/>
      <c r="E55" s="122"/>
      <c r="F55" s="122"/>
      <c r="G55" s="101"/>
      <c r="H55" s="101"/>
      <c r="I55" s="101"/>
      <c r="J55" s="101"/>
      <c r="K55" s="101"/>
      <c r="L55" s="109"/>
      <c r="M55" s="109"/>
      <c r="N55" s="109"/>
      <c r="O55" s="109"/>
      <c r="P55" s="109"/>
      <c r="Q55" s="17">
        <f t="shared" si="2"/>
        <v>0</v>
      </c>
    </row>
    <row r="56" spans="1:17" ht="15" thickBot="1">
      <c r="A56" s="110" t="s">
        <v>114</v>
      </c>
      <c r="B56" s="103" t="s">
        <v>109</v>
      </c>
      <c r="C56" s="63"/>
      <c r="D56" s="63"/>
      <c r="E56" s="122"/>
      <c r="F56" s="122"/>
      <c r="G56" s="101"/>
      <c r="H56" s="101"/>
      <c r="I56" s="101"/>
      <c r="J56" s="101"/>
      <c r="K56" s="101"/>
      <c r="L56" s="109"/>
      <c r="M56" s="109"/>
      <c r="N56" s="109"/>
      <c r="O56" s="109"/>
      <c r="P56" s="109"/>
      <c r="Q56" s="17">
        <f t="shared" si="2"/>
        <v>0</v>
      </c>
    </row>
    <row r="57" spans="1:17" ht="15" thickBot="1">
      <c r="A57" s="110" t="s">
        <v>114</v>
      </c>
      <c r="B57" s="103" t="s">
        <v>110</v>
      </c>
      <c r="C57" s="63"/>
      <c r="D57" s="63"/>
      <c r="E57" s="122"/>
      <c r="F57" s="122"/>
      <c r="G57" s="101"/>
      <c r="H57" s="101"/>
      <c r="I57" s="101"/>
      <c r="J57" s="101"/>
      <c r="K57" s="101"/>
      <c r="L57" s="109"/>
      <c r="M57" s="109"/>
      <c r="N57" s="109"/>
      <c r="O57" s="109"/>
      <c r="P57" s="109"/>
      <c r="Q57" s="17">
        <f t="shared" si="2"/>
        <v>0</v>
      </c>
    </row>
    <row r="58" spans="1:17" ht="15" thickBot="1">
      <c r="A58" s="110" t="s">
        <v>114</v>
      </c>
      <c r="B58" s="103" t="s">
        <v>111</v>
      </c>
      <c r="C58" s="63"/>
      <c r="D58" s="63"/>
      <c r="E58" s="122"/>
      <c r="F58" s="122"/>
      <c r="G58" s="101"/>
      <c r="H58" s="101"/>
      <c r="I58" s="101"/>
      <c r="J58" s="101"/>
      <c r="K58" s="101"/>
      <c r="L58" s="109"/>
      <c r="M58" s="109"/>
      <c r="N58" s="109"/>
      <c r="O58" s="109"/>
      <c r="P58" s="109"/>
      <c r="Q58" s="17">
        <f>SUM(E58:P58)</f>
        <v>0</v>
      </c>
    </row>
    <row r="59" spans="1:17" ht="15" thickBot="1">
      <c r="A59" s="110" t="s">
        <v>114</v>
      </c>
      <c r="B59" s="103" t="s">
        <v>112</v>
      </c>
      <c r="C59" s="63"/>
      <c r="D59" s="63"/>
      <c r="E59" s="122"/>
      <c r="F59" s="122"/>
      <c r="G59" s="109"/>
      <c r="H59" s="109"/>
      <c r="I59" s="101"/>
      <c r="J59" s="101"/>
      <c r="K59" s="101"/>
      <c r="L59" s="109"/>
      <c r="M59" s="109"/>
      <c r="N59" s="109"/>
      <c r="O59" s="109"/>
      <c r="P59" s="109"/>
      <c r="Q59" s="17">
        <f>SUM(E59:P59)</f>
        <v>0</v>
      </c>
    </row>
    <row r="60" spans="1:17" ht="15" thickBot="1">
      <c r="A60" s="110" t="s">
        <v>114</v>
      </c>
      <c r="B60" s="103" t="s">
        <v>113</v>
      </c>
      <c r="C60" s="63"/>
      <c r="D60" s="63"/>
      <c r="E60" s="122"/>
      <c r="F60" s="122"/>
      <c r="G60" s="101"/>
      <c r="H60" s="101"/>
      <c r="I60" s="101"/>
      <c r="J60" s="101"/>
      <c r="K60" s="101"/>
      <c r="L60" s="109"/>
      <c r="M60" s="109"/>
      <c r="N60" s="109"/>
      <c r="O60" s="109"/>
      <c r="P60" s="109"/>
      <c r="Q60" s="17">
        <f>SUM(E60:P60)</f>
        <v>0</v>
      </c>
    </row>
    <row r="61" spans="1:19" s="65" customFormat="1" ht="15" thickBot="1">
      <c r="A61" s="196" t="s">
        <v>203</v>
      </c>
      <c r="B61" s="197"/>
      <c r="C61" s="45">
        <f>+D61/Metas!S29</f>
        <v>0</v>
      </c>
      <c r="D61" s="19">
        <f>+Q61/R61</f>
        <v>0</v>
      </c>
      <c r="E61" s="85">
        <f>SUM(E48:E60)</f>
        <v>0</v>
      </c>
      <c r="F61" s="85">
        <f>SUM(F48:F60)</f>
        <v>0</v>
      </c>
      <c r="G61" s="85">
        <f>SUM(G48:G60)</f>
        <v>0</v>
      </c>
      <c r="H61" s="85">
        <f>SUM(H48:H60)</f>
        <v>0</v>
      </c>
      <c r="I61" s="85">
        <f aca="true" t="shared" si="5" ref="I61:P61">SUM(I48:I60)</f>
        <v>0</v>
      </c>
      <c r="J61" s="85">
        <f t="shared" si="5"/>
        <v>0</v>
      </c>
      <c r="K61" s="85">
        <f t="shared" si="5"/>
        <v>0</v>
      </c>
      <c r="L61" s="85">
        <f t="shared" si="5"/>
        <v>0</v>
      </c>
      <c r="M61" s="85">
        <f t="shared" si="5"/>
        <v>0</v>
      </c>
      <c r="N61" s="85">
        <f t="shared" si="5"/>
        <v>0</v>
      </c>
      <c r="O61" s="85">
        <f t="shared" si="5"/>
        <v>0</v>
      </c>
      <c r="P61" s="85">
        <f t="shared" si="5"/>
        <v>0</v>
      </c>
      <c r="Q61" s="14">
        <f>SUM(Q48:Q60)</f>
        <v>0</v>
      </c>
      <c r="R61" s="239">
        <v>1014</v>
      </c>
      <c r="S61" s="240"/>
    </row>
    <row r="62" spans="1:17" ht="15" thickBot="1">
      <c r="A62" s="110" t="s">
        <v>125</v>
      </c>
      <c r="B62" s="103" t="s">
        <v>115</v>
      </c>
      <c r="C62" s="63"/>
      <c r="D62" s="63"/>
      <c r="E62" s="122"/>
      <c r="F62" s="122"/>
      <c r="G62" s="101"/>
      <c r="H62" s="101"/>
      <c r="I62" s="101"/>
      <c r="J62" s="101"/>
      <c r="K62" s="101"/>
      <c r="L62" s="109"/>
      <c r="M62" s="109"/>
      <c r="N62" s="109"/>
      <c r="O62" s="109"/>
      <c r="P62" s="110"/>
      <c r="Q62" s="17">
        <f aca="true" t="shared" si="6" ref="Q62:Q71">SUM(E62:P62)</f>
        <v>0</v>
      </c>
    </row>
    <row r="63" spans="1:17" ht="15" thickBot="1">
      <c r="A63" s="110" t="s">
        <v>125</v>
      </c>
      <c r="B63" s="103" t="s">
        <v>116</v>
      </c>
      <c r="C63" s="63"/>
      <c r="D63" s="63"/>
      <c r="E63" s="122"/>
      <c r="F63" s="122"/>
      <c r="G63" s="101"/>
      <c r="H63" s="101"/>
      <c r="I63" s="101"/>
      <c r="J63" s="101"/>
      <c r="K63" s="101"/>
      <c r="L63" s="109"/>
      <c r="M63" s="109"/>
      <c r="N63" s="109"/>
      <c r="O63" s="109"/>
      <c r="P63" s="110"/>
      <c r="Q63" s="17">
        <f t="shared" si="6"/>
        <v>0</v>
      </c>
    </row>
    <row r="64" spans="1:17" ht="15" thickBot="1">
      <c r="A64" s="110" t="s">
        <v>125</v>
      </c>
      <c r="B64" s="103" t="s">
        <v>117</v>
      </c>
      <c r="C64" s="63"/>
      <c r="D64" s="63"/>
      <c r="E64" s="122"/>
      <c r="F64" s="122"/>
      <c r="G64" s="101"/>
      <c r="H64" s="101"/>
      <c r="I64" s="101"/>
      <c r="J64" s="101"/>
      <c r="K64" s="101"/>
      <c r="L64" s="109"/>
      <c r="M64" s="109"/>
      <c r="N64" s="109"/>
      <c r="O64" s="109"/>
      <c r="P64" s="110"/>
      <c r="Q64" s="17">
        <f t="shared" si="6"/>
        <v>0</v>
      </c>
    </row>
    <row r="65" spans="1:17" ht="15" thickBot="1">
      <c r="A65" s="110" t="s">
        <v>125</v>
      </c>
      <c r="B65" s="103" t="s">
        <v>118</v>
      </c>
      <c r="C65" s="63"/>
      <c r="D65" s="63"/>
      <c r="E65" s="122"/>
      <c r="F65" s="122"/>
      <c r="G65" s="101"/>
      <c r="H65" s="101"/>
      <c r="I65" s="101"/>
      <c r="J65" s="101"/>
      <c r="K65" s="101"/>
      <c r="L65" s="109"/>
      <c r="M65" s="109"/>
      <c r="N65" s="109"/>
      <c r="O65" s="109"/>
      <c r="P65" s="110"/>
      <c r="Q65" s="17">
        <f t="shared" si="6"/>
        <v>0</v>
      </c>
    </row>
    <row r="66" spans="1:17" ht="15" thickBot="1">
      <c r="A66" s="110" t="s">
        <v>125</v>
      </c>
      <c r="B66" s="103" t="s">
        <v>119</v>
      </c>
      <c r="C66" s="63"/>
      <c r="D66" s="63"/>
      <c r="E66" s="122"/>
      <c r="F66" s="122"/>
      <c r="G66" s="101"/>
      <c r="H66" s="101"/>
      <c r="I66" s="101"/>
      <c r="J66" s="101"/>
      <c r="K66" s="101"/>
      <c r="L66" s="109"/>
      <c r="M66" s="109"/>
      <c r="N66" s="109"/>
      <c r="O66" s="109"/>
      <c r="P66" s="110"/>
      <c r="Q66" s="17">
        <f t="shared" si="6"/>
        <v>0</v>
      </c>
    </row>
    <row r="67" spans="1:17" ht="15" thickBot="1">
      <c r="A67" s="110" t="s">
        <v>125</v>
      </c>
      <c r="B67" s="103" t="s">
        <v>120</v>
      </c>
      <c r="C67" s="63"/>
      <c r="D67" s="63"/>
      <c r="E67" s="122"/>
      <c r="F67" s="122"/>
      <c r="G67" s="101"/>
      <c r="H67" s="101"/>
      <c r="I67" s="101"/>
      <c r="J67" s="101"/>
      <c r="K67" s="101"/>
      <c r="L67" s="109"/>
      <c r="M67" s="109"/>
      <c r="N67" s="109"/>
      <c r="O67" s="109"/>
      <c r="P67" s="110"/>
      <c r="Q67" s="17">
        <f t="shared" si="6"/>
        <v>0</v>
      </c>
    </row>
    <row r="68" spans="1:17" ht="15" thickBot="1">
      <c r="A68" s="110" t="s">
        <v>125</v>
      </c>
      <c r="B68" s="103" t="s">
        <v>121</v>
      </c>
      <c r="C68" s="63"/>
      <c r="D68" s="63"/>
      <c r="E68" s="122"/>
      <c r="F68" s="122"/>
      <c r="G68" s="101"/>
      <c r="H68" s="101"/>
      <c r="I68" s="101"/>
      <c r="J68" s="101"/>
      <c r="K68" s="101"/>
      <c r="L68" s="109"/>
      <c r="M68" s="109"/>
      <c r="N68" s="109"/>
      <c r="O68" s="109"/>
      <c r="P68" s="110"/>
      <c r="Q68" s="17">
        <f t="shared" si="6"/>
        <v>0</v>
      </c>
    </row>
    <row r="69" spans="1:17" ht="15" thickBot="1">
      <c r="A69" s="110" t="s">
        <v>125</v>
      </c>
      <c r="B69" s="103" t="s">
        <v>122</v>
      </c>
      <c r="C69" s="63"/>
      <c r="D69" s="63"/>
      <c r="E69" s="122"/>
      <c r="F69" s="122"/>
      <c r="G69" s="101"/>
      <c r="H69" s="101"/>
      <c r="I69" s="101"/>
      <c r="J69" s="101"/>
      <c r="K69" s="101"/>
      <c r="L69" s="109"/>
      <c r="M69" s="109"/>
      <c r="N69" s="109"/>
      <c r="O69" s="109"/>
      <c r="P69" s="110"/>
      <c r="Q69" s="17">
        <f t="shared" si="6"/>
        <v>0</v>
      </c>
    </row>
    <row r="70" spans="1:17" ht="15" thickBot="1">
      <c r="A70" s="110" t="s">
        <v>125</v>
      </c>
      <c r="B70" s="103" t="s">
        <v>123</v>
      </c>
      <c r="C70" s="63"/>
      <c r="D70" s="63"/>
      <c r="E70" s="122"/>
      <c r="F70" s="122"/>
      <c r="G70" s="101"/>
      <c r="H70" s="101"/>
      <c r="I70" s="101"/>
      <c r="J70" s="101"/>
      <c r="K70" s="101"/>
      <c r="L70" s="109"/>
      <c r="M70" s="109"/>
      <c r="N70" s="109"/>
      <c r="O70" s="109"/>
      <c r="P70" s="110"/>
      <c r="Q70" s="17">
        <f t="shared" si="6"/>
        <v>0</v>
      </c>
    </row>
    <row r="71" spans="1:17" ht="15" thickBot="1">
      <c r="A71" s="110" t="s">
        <v>125</v>
      </c>
      <c r="B71" s="103" t="s">
        <v>124</v>
      </c>
      <c r="C71" s="63"/>
      <c r="D71" s="63"/>
      <c r="E71" s="124"/>
      <c r="F71" s="124"/>
      <c r="G71" s="99"/>
      <c r="H71" s="99"/>
      <c r="I71" s="99"/>
      <c r="J71" s="99"/>
      <c r="K71" s="99"/>
      <c r="L71" s="110"/>
      <c r="M71" s="110"/>
      <c r="N71" s="110"/>
      <c r="O71" s="110"/>
      <c r="P71" s="110"/>
      <c r="Q71" s="17">
        <f t="shared" si="6"/>
        <v>0</v>
      </c>
    </row>
    <row r="72" spans="1:19" s="65" customFormat="1" ht="15" thickBot="1">
      <c r="A72" s="196" t="s">
        <v>23</v>
      </c>
      <c r="B72" s="197"/>
      <c r="C72" s="45">
        <f>+D72/Metas!S26</f>
        <v>0</v>
      </c>
      <c r="D72" s="19">
        <f>+Q72/R72</f>
        <v>0</v>
      </c>
      <c r="E72" s="85">
        <f>SUM(E62:E71)</f>
        <v>0</v>
      </c>
      <c r="F72" s="85">
        <f aca="true" t="shared" si="7" ref="F72:P72">SUM(F62:F71)</f>
        <v>0</v>
      </c>
      <c r="G72" s="85">
        <f t="shared" si="7"/>
        <v>0</v>
      </c>
      <c r="H72" s="85">
        <f t="shared" si="7"/>
        <v>0</v>
      </c>
      <c r="I72" s="85">
        <f t="shared" si="7"/>
        <v>0</v>
      </c>
      <c r="J72" s="85">
        <f t="shared" si="7"/>
        <v>0</v>
      </c>
      <c r="K72" s="85">
        <f t="shared" si="7"/>
        <v>0</v>
      </c>
      <c r="L72" s="85">
        <f t="shared" si="7"/>
        <v>0</v>
      </c>
      <c r="M72" s="85">
        <f t="shared" si="7"/>
        <v>0</v>
      </c>
      <c r="N72" s="85">
        <f t="shared" si="7"/>
        <v>0</v>
      </c>
      <c r="O72" s="85">
        <f t="shared" si="7"/>
        <v>0</v>
      </c>
      <c r="P72" s="85">
        <f t="shared" si="7"/>
        <v>0</v>
      </c>
      <c r="Q72" s="85">
        <f>SUM(Q62:Q71)</f>
        <v>0</v>
      </c>
      <c r="R72" s="239">
        <v>647</v>
      </c>
      <c r="S72" s="240"/>
    </row>
    <row r="73" spans="1:17" ht="15" thickBot="1">
      <c r="A73" s="110" t="s">
        <v>131</v>
      </c>
      <c r="B73" s="103" t="s">
        <v>126</v>
      </c>
      <c r="C73" s="63"/>
      <c r="D73" s="63"/>
      <c r="E73" s="122"/>
      <c r="F73" s="122"/>
      <c r="G73" s="101"/>
      <c r="H73" s="101"/>
      <c r="I73" s="101"/>
      <c r="J73" s="101"/>
      <c r="K73" s="101"/>
      <c r="L73" s="109"/>
      <c r="M73" s="109"/>
      <c r="N73" s="109"/>
      <c r="O73" s="109"/>
      <c r="P73" s="65"/>
      <c r="Q73" s="17">
        <f>SUM(E73:P73)</f>
        <v>0</v>
      </c>
    </row>
    <row r="74" spans="1:17" ht="15" thickBot="1">
      <c r="A74" s="110" t="s">
        <v>131</v>
      </c>
      <c r="B74" s="103" t="s">
        <v>127</v>
      </c>
      <c r="C74" s="63"/>
      <c r="D74" s="63"/>
      <c r="E74" s="122"/>
      <c r="F74" s="122"/>
      <c r="G74" s="101"/>
      <c r="H74" s="101"/>
      <c r="I74" s="101"/>
      <c r="J74" s="101"/>
      <c r="K74" s="101"/>
      <c r="L74" s="109"/>
      <c r="M74" s="109"/>
      <c r="N74" s="109"/>
      <c r="O74" s="109"/>
      <c r="Q74" s="17">
        <f>SUM(E74:P74)</f>
        <v>0</v>
      </c>
    </row>
    <row r="75" spans="1:17" ht="15" thickBot="1">
      <c r="A75" s="110" t="s">
        <v>131</v>
      </c>
      <c r="B75" s="103" t="s">
        <v>128</v>
      </c>
      <c r="C75" s="63"/>
      <c r="D75" s="63"/>
      <c r="E75" s="122"/>
      <c r="F75" s="122"/>
      <c r="G75" s="101"/>
      <c r="H75" s="101"/>
      <c r="I75" s="101"/>
      <c r="J75" s="101"/>
      <c r="K75" s="101"/>
      <c r="L75" s="109"/>
      <c r="M75" s="109"/>
      <c r="N75" s="109"/>
      <c r="O75" s="109"/>
      <c r="Q75" s="17">
        <f>SUM(E75:P75)</f>
        <v>0</v>
      </c>
    </row>
    <row r="76" spans="1:17" ht="15" thickBot="1">
      <c r="A76" s="110" t="s">
        <v>131</v>
      </c>
      <c r="B76" s="103" t="s">
        <v>129</v>
      </c>
      <c r="C76" s="63"/>
      <c r="D76" s="63"/>
      <c r="E76" s="122"/>
      <c r="F76" s="122"/>
      <c r="G76" s="109"/>
      <c r="H76" s="109"/>
      <c r="I76" s="109"/>
      <c r="J76" s="109"/>
      <c r="K76" s="109"/>
      <c r="L76" s="109"/>
      <c r="M76" s="109"/>
      <c r="N76" s="109"/>
      <c r="O76" s="109"/>
      <c r="Q76" s="17">
        <f>SUM(E76:P76)</f>
        <v>0</v>
      </c>
    </row>
    <row r="77" spans="1:17" ht="15" thickBot="1">
      <c r="A77" s="110" t="s">
        <v>131</v>
      </c>
      <c r="B77" s="103" t="s">
        <v>130</v>
      </c>
      <c r="C77" s="63"/>
      <c r="D77" s="63"/>
      <c r="E77" s="122"/>
      <c r="F77" s="122"/>
      <c r="G77" s="109"/>
      <c r="H77" s="109"/>
      <c r="I77" s="101"/>
      <c r="J77" s="101"/>
      <c r="K77" s="101"/>
      <c r="L77" s="109"/>
      <c r="M77" s="109"/>
      <c r="N77" s="109"/>
      <c r="O77" s="109"/>
      <c r="Q77" s="17">
        <f>SUM(E77:P77)</f>
        <v>0</v>
      </c>
    </row>
    <row r="78" spans="1:19" s="65" customFormat="1" ht="15" thickBot="1">
      <c r="A78" s="196" t="s">
        <v>204</v>
      </c>
      <c r="B78" s="197"/>
      <c r="C78" s="45">
        <f>+D78/Metas!S31</f>
        <v>0</v>
      </c>
      <c r="D78" s="19">
        <f>+Q78/R78</f>
        <v>0</v>
      </c>
      <c r="E78" s="85">
        <f aca="true" t="shared" si="8" ref="E78:Q78">SUM(E73:E77)</f>
        <v>0</v>
      </c>
      <c r="F78" s="85">
        <f t="shared" si="8"/>
        <v>0</v>
      </c>
      <c r="G78" s="85">
        <f t="shared" si="8"/>
        <v>0</v>
      </c>
      <c r="H78" s="85">
        <f t="shared" si="8"/>
        <v>0</v>
      </c>
      <c r="I78" s="85">
        <f t="shared" si="8"/>
        <v>0</v>
      </c>
      <c r="J78" s="85">
        <f t="shared" si="8"/>
        <v>0</v>
      </c>
      <c r="K78" s="85">
        <f t="shared" si="8"/>
        <v>0</v>
      </c>
      <c r="L78" s="85">
        <f t="shared" si="8"/>
        <v>0</v>
      </c>
      <c r="M78" s="85">
        <f t="shared" si="8"/>
        <v>0</v>
      </c>
      <c r="N78" s="85">
        <f t="shared" si="8"/>
        <v>0</v>
      </c>
      <c r="O78" s="85">
        <f t="shared" si="8"/>
        <v>0</v>
      </c>
      <c r="P78" s="85">
        <f t="shared" si="8"/>
        <v>0</v>
      </c>
      <c r="Q78" s="85">
        <f t="shared" si="8"/>
        <v>0</v>
      </c>
      <c r="R78" s="239">
        <v>420</v>
      </c>
      <c r="S78" s="240"/>
    </row>
    <row r="79" spans="1:17" ht="15" thickBot="1">
      <c r="A79" s="110" t="s">
        <v>142</v>
      </c>
      <c r="B79" s="103" t="s">
        <v>132</v>
      </c>
      <c r="C79" s="63"/>
      <c r="D79" s="63"/>
      <c r="E79" s="122"/>
      <c r="F79" s="122"/>
      <c r="G79" s="101"/>
      <c r="H79" s="101"/>
      <c r="I79" s="101"/>
      <c r="J79" s="101"/>
      <c r="K79" s="101"/>
      <c r="L79" s="109"/>
      <c r="M79" s="109"/>
      <c r="N79" s="109"/>
      <c r="O79" s="109"/>
      <c r="P79" s="109"/>
      <c r="Q79" s="17">
        <f aca="true" t="shared" si="9" ref="Q79:Q88">SUM(E79:P79)</f>
        <v>0</v>
      </c>
    </row>
    <row r="80" spans="1:17" ht="15" thickBot="1">
      <c r="A80" s="110" t="s">
        <v>142</v>
      </c>
      <c r="B80" s="103" t="s">
        <v>133</v>
      </c>
      <c r="C80" s="63"/>
      <c r="D80" s="63"/>
      <c r="E80" s="122"/>
      <c r="F80" s="122"/>
      <c r="G80" s="101"/>
      <c r="H80" s="101"/>
      <c r="I80" s="101"/>
      <c r="J80" s="101"/>
      <c r="K80" s="101"/>
      <c r="L80" s="109"/>
      <c r="M80" s="109"/>
      <c r="N80" s="109"/>
      <c r="O80" s="109"/>
      <c r="P80" s="109"/>
      <c r="Q80" s="17">
        <f t="shared" si="9"/>
        <v>0</v>
      </c>
    </row>
    <row r="81" spans="1:17" ht="15" thickBot="1">
      <c r="A81" s="110" t="s">
        <v>142</v>
      </c>
      <c r="B81" s="103" t="s">
        <v>134</v>
      </c>
      <c r="C81" s="63"/>
      <c r="D81" s="63"/>
      <c r="E81" s="122"/>
      <c r="F81" s="122"/>
      <c r="G81" s="101"/>
      <c r="H81" s="101"/>
      <c r="I81" s="101"/>
      <c r="J81" s="101"/>
      <c r="K81" s="101"/>
      <c r="L81" s="109"/>
      <c r="M81" s="109"/>
      <c r="N81" s="109"/>
      <c r="O81" s="109"/>
      <c r="P81" s="109"/>
      <c r="Q81" s="17">
        <f t="shared" si="9"/>
        <v>0</v>
      </c>
    </row>
    <row r="82" spans="1:17" ht="15" thickBot="1">
      <c r="A82" s="110" t="s">
        <v>142</v>
      </c>
      <c r="B82" s="103" t="s">
        <v>135</v>
      </c>
      <c r="C82" s="63"/>
      <c r="D82" s="63"/>
      <c r="E82" s="122"/>
      <c r="F82" s="122"/>
      <c r="G82" s="101"/>
      <c r="H82" s="101"/>
      <c r="I82" s="101"/>
      <c r="J82" s="101"/>
      <c r="K82" s="101"/>
      <c r="L82" s="109"/>
      <c r="M82" s="109"/>
      <c r="N82" s="109"/>
      <c r="O82" s="109"/>
      <c r="P82" s="109"/>
      <c r="Q82" s="17">
        <f t="shared" si="9"/>
        <v>0</v>
      </c>
    </row>
    <row r="83" spans="1:17" ht="15" thickBot="1">
      <c r="A83" s="110" t="s">
        <v>142</v>
      </c>
      <c r="B83" s="103" t="s">
        <v>136</v>
      </c>
      <c r="C83" s="63"/>
      <c r="D83" s="63"/>
      <c r="E83" s="122"/>
      <c r="F83" s="122"/>
      <c r="G83" s="101"/>
      <c r="H83" s="101"/>
      <c r="I83" s="101"/>
      <c r="J83" s="101"/>
      <c r="K83" s="101"/>
      <c r="L83" s="109"/>
      <c r="M83" s="109"/>
      <c r="N83" s="109"/>
      <c r="O83" s="109"/>
      <c r="P83" s="109"/>
      <c r="Q83" s="17">
        <f t="shared" si="9"/>
        <v>0</v>
      </c>
    </row>
    <row r="84" spans="1:17" ht="15" thickBot="1">
      <c r="A84" s="110" t="s">
        <v>142</v>
      </c>
      <c r="B84" s="103" t="s">
        <v>137</v>
      </c>
      <c r="C84" s="63"/>
      <c r="D84" s="63"/>
      <c r="E84" s="122"/>
      <c r="F84" s="122"/>
      <c r="G84" s="101"/>
      <c r="H84" s="101"/>
      <c r="I84" s="101"/>
      <c r="J84" s="101"/>
      <c r="K84" s="101"/>
      <c r="L84" s="109"/>
      <c r="M84" s="109"/>
      <c r="N84" s="109"/>
      <c r="O84" s="109"/>
      <c r="P84" s="109"/>
      <c r="Q84" s="17">
        <f t="shared" si="9"/>
        <v>0</v>
      </c>
    </row>
    <row r="85" spans="1:17" ht="15" thickBot="1">
      <c r="A85" s="110" t="s">
        <v>142</v>
      </c>
      <c r="B85" s="103" t="s">
        <v>138</v>
      </c>
      <c r="C85" s="63"/>
      <c r="D85" s="63"/>
      <c r="E85" s="122"/>
      <c r="F85" s="122"/>
      <c r="G85" s="101"/>
      <c r="H85" s="101"/>
      <c r="I85" s="101"/>
      <c r="J85" s="101"/>
      <c r="K85" s="101"/>
      <c r="L85" s="109"/>
      <c r="M85" s="109"/>
      <c r="N85" s="109"/>
      <c r="O85" s="109"/>
      <c r="P85" s="109"/>
      <c r="Q85" s="17">
        <f t="shared" si="9"/>
        <v>0</v>
      </c>
    </row>
    <row r="86" spans="1:17" ht="15" thickBot="1">
      <c r="A86" s="110" t="s">
        <v>142</v>
      </c>
      <c r="B86" s="103" t="s">
        <v>139</v>
      </c>
      <c r="C86" s="63"/>
      <c r="D86" s="63"/>
      <c r="E86" s="122"/>
      <c r="F86" s="122"/>
      <c r="G86" s="101"/>
      <c r="H86" s="101"/>
      <c r="I86" s="101"/>
      <c r="J86" s="101"/>
      <c r="K86" s="101"/>
      <c r="L86" s="109"/>
      <c r="M86" s="109"/>
      <c r="N86" s="109"/>
      <c r="O86" s="109"/>
      <c r="P86" s="109"/>
      <c r="Q86" s="17">
        <f t="shared" si="9"/>
        <v>0</v>
      </c>
    </row>
    <row r="87" spans="1:17" ht="15" thickBot="1">
      <c r="A87" s="110" t="s">
        <v>142</v>
      </c>
      <c r="B87" s="103" t="s">
        <v>140</v>
      </c>
      <c r="C87" s="63"/>
      <c r="D87" s="63"/>
      <c r="E87" s="122"/>
      <c r="F87" s="122"/>
      <c r="G87" s="101"/>
      <c r="H87" s="101"/>
      <c r="I87" s="101"/>
      <c r="J87" s="101"/>
      <c r="K87" s="101"/>
      <c r="L87" s="109"/>
      <c r="M87" s="109"/>
      <c r="N87" s="109"/>
      <c r="O87" s="109"/>
      <c r="P87" s="109"/>
      <c r="Q87" s="17">
        <f t="shared" si="9"/>
        <v>0</v>
      </c>
    </row>
    <row r="88" spans="1:17" ht="15" thickBot="1">
      <c r="A88" s="110" t="s">
        <v>142</v>
      </c>
      <c r="B88" s="103" t="s">
        <v>141</v>
      </c>
      <c r="C88" s="63"/>
      <c r="D88" s="63"/>
      <c r="E88" s="122"/>
      <c r="F88" s="122"/>
      <c r="G88" s="101"/>
      <c r="H88" s="101"/>
      <c r="I88" s="101"/>
      <c r="J88" s="101"/>
      <c r="K88" s="101"/>
      <c r="L88" s="109"/>
      <c r="M88" s="109"/>
      <c r="N88" s="109"/>
      <c r="O88" s="109"/>
      <c r="P88" s="109"/>
      <c r="Q88" s="17">
        <f t="shared" si="9"/>
        <v>0</v>
      </c>
    </row>
    <row r="89" spans="1:19" s="65" customFormat="1" ht="15" thickBot="1">
      <c r="A89" s="196" t="s">
        <v>205</v>
      </c>
      <c r="B89" s="197"/>
      <c r="C89" s="45">
        <f>+D89/Metas!S36</f>
        <v>0</v>
      </c>
      <c r="D89" s="19">
        <f>+Q89/R89</f>
        <v>0</v>
      </c>
      <c r="E89" s="85">
        <f>SUM(E79:E88)</f>
        <v>0</v>
      </c>
      <c r="F89" s="85">
        <f aca="true" t="shared" si="10" ref="F89:P89">SUM(F79:F88)</f>
        <v>0</v>
      </c>
      <c r="G89" s="85">
        <f t="shared" si="10"/>
        <v>0</v>
      </c>
      <c r="H89" s="85">
        <f t="shared" si="10"/>
        <v>0</v>
      </c>
      <c r="I89" s="85">
        <f t="shared" si="10"/>
        <v>0</v>
      </c>
      <c r="J89" s="85">
        <f t="shared" si="10"/>
        <v>0</v>
      </c>
      <c r="K89" s="85">
        <f t="shared" si="10"/>
        <v>0</v>
      </c>
      <c r="L89" s="85">
        <f t="shared" si="10"/>
        <v>0</v>
      </c>
      <c r="M89" s="85">
        <f t="shared" si="10"/>
        <v>0</v>
      </c>
      <c r="N89" s="85">
        <f t="shared" si="10"/>
        <v>0</v>
      </c>
      <c r="O89" s="85">
        <f t="shared" si="10"/>
        <v>0</v>
      </c>
      <c r="P89" s="85">
        <f t="shared" si="10"/>
        <v>0</v>
      </c>
      <c r="Q89" s="85">
        <f>SUM(Q79:Q88)</f>
        <v>0</v>
      </c>
      <c r="R89" s="239">
        <v>855</v>
      </c>
      <c r="S89" s="240"/>
    </row>
    <row r="90" spans="1:17" ht="15" thickBot="1">
      <c r="A90" s="110" t="s">
        <v>159</v>
      </c>
      <c r="B90" s="103" t="s">
        <v>143</v>
      </c>
      <c r="C90" s="63"/>
      <c r="D90" s="63"/>
      <c r="E90" s="122"/>
      <c r="F90" s="122"/>
      <c r="G90" s="101"/>
      <c r="H90" s="101"/>
      <c r="I90" s="101"/>
      <c r="J90" s="101"/>
      <c r="K90" s="101"/>
      <c r="L90" s="109"/>
      <c r="M90" s="109"/>
      <c r="N90" s="109"/>
      <c r="O90" s="109"/>
      <c r="Q90" s="17">
        <f aca="true" t="shared" si="11" ref="Q90:Q105">SUM(E90:P90)</f>
        <v>0</v>
      </c>
    </row>
    <row r="91" spans="1:17" ht="15" thickBot="1">
      <c r="A91" s="110" t="s">
        <v>159</v>
      </c>
      <c r="B91" s="103" t="s">
        <v>144</v>
      </c>
      <c r="C91" s="63"/>
      <c r="D91" s="63"/>
      <c r="E91" s="122"/>
      <c r="F91" s="122"/>
      <c r="G91" s="101"/>
      <c r="H91" s="101"/>
      <c r="I91" s="101"/>
      <c r="J91" s="101"/>
      <c r="K91" s="101"/>
      <c r="L91" s="109"/>
      <c r="M91" s="109"/>
      <c r="N91" s="109"/>
      <c r="O91" s="109"/>
      <c r="Q91" s="17">
        <f t="shared" si="11"/>
        <v>0</v>
      </c>
    </row>
    <row r="92" spans="1:17" ht="15" thickBot="1">
      <c r="A92" s="110" t="s">
        <v>159</v>
      </c>
      <c r="B92" s="103" t="s">
        <v>145</v>
      </c>
      <c r="C92" s="63"/>
      <c r="D92" s="63"/>
      <c r="E92" s="122"/>
      <c r="F92" s="122"/>
      <c r="G92" s="101"/>
      <c r="H92" s="101"/>
      <c r="I92" s="101"/>
      <c r="J92" s="101"/>
      <c r="K92" s="101"/>
      <c r="L92" s="109"/>
      <c r="M92" s="109"/>
      <c r="N92" s="109"/>
      <c r="O92" s="109"/>
      <c r="Q92" s="17">
        <f t="shared" si="11"/>
        <v>0</v>
      </c>
    </row>
    <row r="93" spans="1:17" ht="15" thickBot="1">
      <c r="A93" s="110" t="s">
        <v>159</v>
      </c>
      <c r="B93" s="103" t="s">
        <v>146</v>
      </c>
      <c r="C93" s="63"/>
      <c r="D93" s="63"/>
      <c r="E93" s="122"/>
      <c r="F93" s="122"/>
      <c r="G93" s="101"/>
      <c r="H93" s="101"/>
      <c r="I93" s="101"/>
      <c r="J93" s="101"/>
      <c r="K93" s="101"/>
      <c r="L93" s="109"/>
      <c r="M93" s="109"/>
      <c r="N93" s="109"/>
      <c r="O93" s="109"/>
      <c r="Q93" s="17">
        <f t="shared" si="11"/>
        <v>0</v>
      </c>
    </row>
    <row r="94" spans="1:17" ht="15" thickBot="1">
      <c r="A94" s="110" t="s">
        <v>159</v>
      </c>
      <c r="B94" s="103" t="s">
        <v>147</v>
      </c>
      <c r="C94" s="63"/>
      <c r="D94" s="63"/>
      <c r="E94" s="122"/>
      <c r="F94" s="122"/>
      <c r="G94" s="101"/>
      <c r="H94" s="101"/>
      <c r="I94" s="101"/>
      <c r="J94" s="101"/>
      <c r="K94" s="101"/>
      <c r="L94" s="109"/>
      <c r="M94" s="109"/>
      <c r="N94" s="109"/>
      <c r="O94" s="109"/>
      <c r="Q94" s="17">
        <f t="shared" si="11"/>
        <v>0</v>
      </c>
    </row>
    <row r="95" spans="1:17" ht="15" thickBot="1">
      <c r="A95" s="110" t="s">
        <v>159</v>
      </c>
      <c r="B95" s="103" t="s">
        <v>148</v>
      </c>
      <c r="C95" s="63"/>
      <c r="D95" s="63"/>
      <c r="E95" s="122"/>
      <c r="F95" s="122"/>
      <c r="G95" s="101"/>
      <c r="H95" s="101"/>
      <c r="I95" s="101"/>
      <c r="J95" s="101"/>
      <c r="K95" s="101"/>
      <c r="L95" s="109"/>
      <c r="M95" s="109"/>
      <c r="N95" s="109"/>
      <c r="O95" s="109"/>
      <c r="Q95" s="17">
        <f t="shared" si="11"/>
        <v>0</v>
      </c>
    </row>
    <row r="96" spans="1:17" ht="15" thickBot="1">
      <c r="A96" s="110" t="s">
        <v>159</v>
      </c>
      <c r="B96" s="103" t="s">
        <v>149</v>
      </c>
      <c r="C96" s="63"/>
      <c r="D96" s="63"/>
      <c r="E96" s="122"/>
      <c r="F96" s="122"/>
      <c r="G96" s="101"/>
      <c r="H96" s="101"/>
      <c r="I96" s="101"/>
      <c r="J96" s="101"/>
      <c r="K96" s="101"/>
      <c r="L96" s="109"/>
      <c r="M96" s="109"/>
      <c r="N96" s="109"/>
      <c r="O96" s="109"/>
      <c r="Q96" s="17">
        <f t="shared" si="11"/>
        <v>0</v>
      </c>
    </row>
    <row r="97" spans="1:17" ht="15" thickBot="1">
      <c r="A97" s="110" t="s">
        <v>159</v>
      </c>
      <c r="B97" s="103" t="s">
        <v>150</v>
      </c>
      <c r="C97" s="63"/>
      <c r="D97" s="63"/>
      <c r="E97" s="122"/>
      <c r="F97" s="122"/>
      <c r="G97" s="101"/>
      <c r="H97" s="101"/>
      <c r="I97" s="101"/>
      <c r="J97" s="101"/>
      <c r="K97" s="101"/>
      <c r="L97" s="109"/>
      <c r="M97" s="109"/>
      <c r="N97" s="109"/>
      <c r="O97" s="109"/>
      <c r="Q97" s="17">
        <f t="shared" si="11"/>
        <v>0</v>
      </c>
    </row>
    <row r="98" spans="1:17" ht="15" thickBot="1">
      <c r="A98" s="110" t="s">
        <v>159</v>
      </c>
      <c r="B98" s="103" t="s">
        <v>151</v>
      </c>
      <c r="C98" s="63"/>
      <c r="D98" s="63"/>
      <c r="E98" s="122"/>
      <c r="F98" s="122"/>
      <c r="G98" s="101"/>
      <c r="H98" s="101"/>
      <c r="I98" s="101"/>
      <c r="J98" s="101"/>
      <c r="K98" s="101"/>
      <c r="L98" s="109"/>
      <c r="M98" s="109"/>
      <c r="N98" s="109"/>
      <c r="O98" s="109"/>
      <c r="Q98" s="17">
        <f t="shared" si="11"/>
        <v>0</v>
      </c>
    </row>
    <row r="99" spans="1:17" ht="15" thickBot="1">
      <c r="A99" s="110" t="s">
        <v>159</v>
      </c>
      <c r="B99" s="103" t="s">
        <v>152</v>
      </c>
      <c r="C99" s="63"/>
      <c r="D99" s="63"/>
      <c r="E99" s="122"/>
      <c r="F99" s="122"/>
      <c r="G99" s="101"/>
      <c r="H99" s="101"/>
      <c r="I99" s="101"/>
      <c r="J99" s="101"/>
      <c r="K99" s="101"/>
      <c r="L99" s="109"/>
      <c r="M99" s="109"/>
      <c r="N99" s="109"/>
      <c r="O99" s="109"/>
      <c r="Q99" s="17">
        <f t="shared" si="11"/>
        <v>0</v>
      </c>
    </row>
    <row r="100" spans="1:17" ht="15" thickBot="1">
      <c r="A100" s="110" t="s">
        <v>159</v>
      </c>
      <c r="B100" s="103" t="s">
        <v>153</v>
      </c>
      <c r="C100" s="63"/>
      <c r="D100" s="63"/>
      <c r="E100" s="122"/>
      <c r="F100" s="122"/>
      <c r="G100" s="101"/>
      <c r="H100" s="101"/>
      <c r="I100" s="101"/>
      <c r="J100" s="101"/>
      <c r="K100" s="101"/>
      <c r="L100" s="109"/>
      <c r="M100" s="109"/>
      <c r="N100" s="109"/>
      <c r="O100" s="109"/>
      <c r="Q100" s="17">
        <f t="shared" si="11"/>
        <v>0</v>
      </c>
    </row>
    <row r="101" spans="1:17" ht="15" thickBot="1">
      <c r="A101" s="110" t="s">
        <v>159</v>
      </c>
      <c r="B101" s="103" t="s">
        <v>154</v>
      </c>
      <c r="C101" s="63"/>
      <c r="D101" s="63"/>
      <c r="E101" s="122"/>
      <c r="F101" s="122"/>
      <c r="G101" s="101"/>
      <c r="H101" s="101"/>
      <c r="I101" s="101"/>
      <c r="J101" s="101"/>
      <c r="K101" s="101"/>
      <c r="L101" s="109"/>
      <c r="M101" s="109"/>
      <c r="N101" s="109"/>
      <c r="O101" s="109"/>
      <c r="Q101" s="17">
        <f t="shared" si="11"/>
        <v>0</v>
      </c>
    </row>
    <row r="102" spans="1:17" ht="15" thickBot="1">
      <c r="A102" s="110" t="s">
        <v>159</v>
      </c>
      <c r="B102" s="103" t="s">
        <v>155</v>
      </c>
      <c r="C102" s="63"/>
      <c r="D102" s="63"/>
      <c r="E102" s="122"/>
      <c r="F102" s="122"/>
      <c r="G102" s="101"/>
      <c r="H102" s="101"/>
      <c r="I102" s="101"/>
      <c r="J102" s="101"/>
      <c r="K102" s="101"/>
      <c r="L102" s="109"/>
      <c r="M102" s="109"/>
      <c r="N102" s="109"/>
      <c r="O102" s="109"/>
      <c r="Q102" s="17">
        <f t="shared" si="11"/>
        <v>0</v>
      </c>
    </row>
    <row r="103" spans="1:17" ht="15" thickBot="1">
      <c r="A103" s="110" t="s">
        <v>159</v>
      </c>
      <c r="B103" s="103" t="s">
        <v>156</v>
      </c>
      <c r="C103" s="63"/>
      <c r="D103" s="63"/>
      <c r="E103" s="122"/>
      <c r="F103" s="122"/>
      <c r="G103" s="101"/>
      <c r="H103" s="101"/>
      <c r="I103" s="101"/>
      <c r="J103" s="101"/>
      <c r="K103" s="101"/>
      <c r="L103" s="109"/>
      <c r="M103" s="109"/>
      <c r="N103" s="109"/>
      <c r="O103" s="109"/>
      <c r="Q103" s="17">
        <f t="shared" si="11"/>
        <v>0</v>
      </c>
    </row>
    <row r="104" spans="1:17" ht="15" thickBot="1">
      <c r="A104" s="110" t="s">
        <v>159</v>
      </c>
      <c r="B104" s="103" t="s">
        <v>157</v>
      </c>
      <c r="C104" s="63"/>
      <c r="D104" s="63"/>
      <c r="E104" s="122"/>
      <c r="F104" s="122"/>
      <c r="G104" s="101"/>
      <c r="H104" s="101"/>
      <c r="I104" s="101"/>
      <c r="J104" s="101"/>
      <c r="K104" s="101"/>
      <c r="L104" s="109"/>
      <c r="M104" s="109"/>
      <c r="N104" s="109"/>
      <c r="O104" s="109"/>
      <c r="Q104" s="17">
        <f t="shared" si="11"/>
        <v>0</v>
      </c>
    </row>
    <row r="105" spans="1:17" ht="15" thickBot="1">
      <c r="A105" s="110" t="s">
        <v>159</v>
      </c>
      <c r="B105" s="103" t="s">
        <v>158</v>
      </c>
      <c r="C105" s="63"/>
      <c r="D105" s="63"/>
      <c r="E105" s="122"/>
      <c r="F105" s="122"/>
      <c r="G105" s="101"/>
      <c r="H105" s="101"/>
      <c r="I105" s="101"/>
      <c r="J105" s="101"/>
      <c r="K105" s="101"/>
      <c r="L105" s="109"/>
      <c r="M105" s="109"/>
      <c r="N105" s="109"/>
      <c r="O105" s="109"/>
      <c r="Q105" s="17">
        <f t="shared" si="11"/>
        <v>0</v>
      </c>
    </row>
    <row r="106" spans="1:19" s="65" customFormat="1" ht="15" thickBot="1">
      <c r="A106" s="196" t="s">
        <v>206</v>
      </c>
      <c r="B106" s="197"/>
      <c r="C106" s="45">
        <f>+D106/Metas!S33</f>
        <v>0</v>
      </c>
      <c r="D106" s="19">
        <f>+Q106/R106</f>
        <v>0</v>
      </c>
      <c r="E106" s="85">
        <f>SUM(E90:E105)</f>
        <v>0</v>
      </c>
      <c r="F106" s="85">
        <f aca="true" t="shared" si="12" ref="F106:P106">SUM(F90:F105)</f>
        <v>0</v>
      </c>
      <c r="G106" s="85">
        <f t="shared" si="12"/>
        <v>0</v>
      </c>
      <c r="H106" s="85">
        <f t="shared" si="12"/>
        <v>0</v>
      </c>
      <c r="I106" s="85">
        <f t="shared" si="12"/>
        <v>0</v>
      </c>
      <c r="J106" s="85">
        <f t="shared" si="12"/>
        <v>0</v>
      </c>
      <c r="K106" s="85">
        <f t="shared" si="12"/>
        <v>0</v>
      </c>
      <c r="L106" s="85">
        <f t="shared" si="12"/>
        <v>0</v>
      </c>
      <c r="M106" s="85">
        <f t="shared" si="12"/>
        <v>0</v>
      </c>
      <c r="N106" s="85">
        <f t="shared" si="12"/>
        <v>0</v>
      </c>
      <c r="O106" s="85">
        <f t="shared" si="12"/>
        <v>0</v>
      </c>
      <c r="P106" s="85">
        <f t="shared" si="12"/>
        <v>0</v>
      </c>
      <c r="Q106" s="85">
        <f>SUM(Q90:Q105)</f>
        <v>0</v>
      </c>
      <c r="R106" s="239">
        <v>6616</v>
      </c>
      <c r="S106" s="240"/>
    </row>
    <row r="107" spans="1:17" ht="15" thickBot="1">
      <c r="A107" s="110" t="s">
        <v>172</v>
      </c>
      <c r="B107" s="103" t="s">
        <v>160</v>
      </c>
      <c r="C107" s="63"/>
      <c r="D107" s="63"/>
      <c r="E107" s="122"/>
      <c r="F107" s="122"/>
      <c r="G107" s="101"/>
      <c r="H107" s="101"/>
      <c r="I107" s="101"/>
      <c r="J107" s="101"/>
      <c r="K107" s="101"/>
      <c r="L107" s="109"/>
      <c r="M107" s="109"/>
      <c r="N107" s="109"/>
      <c r="O107" s="109"/>
      <c r="P107" s="109"/>
      <c r="Q107" s="17">
        <f aca="true" t="shared" si="13" ref="Q107:Q118">SUM(E107:P107)</f>
        <v>0</v>
      </c>
    </row>
    <row r="108" spans="1:17" ht="15" thickBot="1">
      <c r="A108" s="110" t="s">
        <v>172</v>
      </c>
      <c r="B108" s="103" t="s">
        <v>161</v>
      </c>
      <c r="C108" s="63"/>
      <c r="D108" s="63"/>
      <c r="E108" s="122"/>
      <c r="F108" s="122"/>
      <c r="G108" s="101"/>
      <c r="H108" s="101"/>
      <c r="I108" s="101"/>
      <c r="J108" s="101"/>
      <c r="K108" s="101"/>
      <c r="L108" s="109"/>
      <c r="M108" s="109"/>
      <c r="N108" s="109"/>
      <c r="O108" s="109"/>
      <c r="P108" s="109"/>
      <c r="Q108" s="17">
        <f t="shared" si="13"/>
        <v>0</v>
      </c>
    </row>
    <row r="109" spans="1:17" ht="15" thickBot="1">
      <c r="A109" s="110" t="s">
        <v>172</v>
      </c>
      <c r="B109" s="103" t="s">
        <v>162</v>
      </c>
      <c r="C109" s="63"/>
      <c r="D109" s="63"/>
      <c r="E109" s="122"/>
      <c r="F109" s="122"/>
      <c r="G109" s="101"/>
      <c r="H109" s="101"/>
      <c r="I109" s="101"/>
      <c r="J109" s="101"/>
      <c r="K109" s="101"/>
      <c r="L109" s="109"/>
      <c r="M109" s="109"/>
      <c r="N109" s="109"/>
      <c r="O109" s="109"/>
      <c r="P109" s="109"/>
      <c r="Q109" s="17">
        <f t="shared" si="13"/>
        <v>0</v>
      </c>
    </row>
    <row r="110" spans="1:17" ht="15" thickBot="1">
      <c r="A110" s="110" t="s">
        <v>172</v>
      </c>
      <c r="B110" s="103" t="s">
        <v>163</v>
      </c>
      <c r="C110" s="63"/>
      <c r="D110" s="63"/>
      <c r="E110" s="122"/>
      <c r="F110" s="122"/>
      <c r="G110" s="101"/>
      <c r="H110" s="101"/>
      <c r="I110" s="101"/>
      <c r="J110" s="101"/>
      <c r="K110" s="101"/>
      <c r="L110" s="109"/>
      <c r="M110" s="109"/>
      <c r="N110" s="109"/>
      <c r="O110" s="109"/>
      <c r="P110" s="109"/>
      <c r="Q110" s="17">
        <f t="shared" si="13"/>
        <v>0</v>
      </c>
    </row>
    <row r="111" spans="1:17" ht="15" thickBot="1">
      <c r="A111" s="110" t="s">
        <v>172</v>
      </c>
      <c r="B111" s="103" t="s">
        <v>164</v>
      </c>
      <c r="C111" s="63"/>
      <c r="D111" s="63"/>
      <c r="E111" s="122"/>
      <c r="F111" s="122"/>
      <c r="G111" s="101"/>
      <c r="H111" s="101"/>
      <c r="I111" s="101"/>
      <c r="J111" s="101"/>
      <c r="K111" s="101"/>
      <c r="L111" s="109"/>
      <c r="M111" s="109"/>
      <c r="N111" s="109"/>
      <c r="O111" s="109"/>
      <c r="P111" s="109"/>
      <c r="Q111" s="17">
        <f t="shared" si="13"/>
        <v>0</v>
      </c>
    </row>
    <row r="112" spans="1:17" ht="15" thickBot="1">
      <c r="A112" s="110" t="s">
        <v>172</v>
      </c>
      <c r="B112" s="103" t="s">
        <v>165</v>
      </c>
      <c r="C112" s="63"/>
      <c r="D112" s="63"/>
      <c r="E112" s="122"/>
      <c r="F112" s="122"/>
      <c r="G112" s="101"/>
      <c r="H112" s="101"/>
      <c r="I112" s="101"/>
      <c r="J112" s="101"/>
      <c r="K112" s="101"/>
      <c r="L112" s="109"/>
      <c r="M112" s="109"/>
      <c r="N112" s="109"/>
      <c r="O112" s="109"/>
      <c r="P112" s="109"/>
      <c r="Q112" s="17">
        <f t="shared" si="13"/>
        <v>0</v>
      </c>
    </row>
    <row r="113" spans="1:17" ht="15" thickBot="1">
      <c r="A113" s="110" t="s">
        <v>172</v>
      </c>
      <c r="B113" s="103" t="s">
        <v>166</v>
      </c>
      <c r="C113" s="63"/>
      <c r="D113" s="63"/>
      <c r="E113" s="122"/>
      <c r="F113" s="122"/>
      <c r="G113" s="101"/>
      <c r="H113" s="101"/>
      <c r="I113" s="101"/>
      <c r="J113" s="101"/>
      <c r="K113" s="101"/>
      <c r="L113" s="109"/>
      <c r="M113" s="109"/>
      <c r="N113" s="109"/>
      <c r="O113" s="109"/>
      <c r="P113" s="109"/>
      <c r="Q113" s="17">
        <f t="shared" si="13"/>
        <v>0</v>
      </c>
    </row>
    <row r="114" spans="1:17" ht="15" thickBot="1">
      <c r="A114" s="110" t="s">
        <v>172</v>
      </c>
      <c r="B114" s="103" t="s">
        <v>167</v>
      </c>
      <c r="C114" s="63"/>
      <c r="D114" s="63"/>
      <c r="E114" s="122"/>
      <c r="F114" s="122"/>
      <c r="G114" s="101"/>
      <c r="H114" s="101"/>
      <c r="I114" s="101"/>
      <c r="J114" s="101"/>
      <c r="K114" s="101"/>
      <c r="L114" s="109"/>
      <c r="M114" s="109"/>
      <c r="N114" s="109"/>
      <c r="O114" s="109"/>
      <c r="P114" s="109"/>
      <c r="Q114" s="17">
        <f t="shared" si="13"/>
        <v>0</v>
      </c>
    </row>
    <row r="115" spans="1:17" ht="15" thickBot="1">
      <c r="A115" s="110" t="s">
        <v>172</v>
      </c>
      <c r="B115" s="103" t="s">
        <v>168</v>
      </c>
      <c r="C115" s="63"/>
      <c r="D115" s="63"/>
      <c r="E115" s="122"/>
      <c r="F115" s="122"/>
      <c r="G115" s="101"/>
      <c r="H115" s="101"/>
      <c r="I115" s="101"/>
      <c r="J115" s="101"/>
      <c r="K115" s="101"/>
      <c r="L115" s="109"/>
      <c r="M115" s="109"/>
      <c r="N115" s="109"/>
      <c r="O115" s="109"/>
      <c r="P115" s="109"/>
      <c r="Q115" s="17">
        <f t="shared" si="13"/>
        <v>0</v>
      </c>
    </row>
    <row r="116" spans="1:17" ht="15" thickBot="1">
      <c r="A116" s="110" t="s">
        <v>172</v>
      </c>
      <c r="B116" s="103" t="s">
        <v>169</v>
      </c>
      <c r="C116" s="63"/>
      <c r="D116" s="63"/>
      <c r="E116" s="122"/>
      <c r="F116" s="122"/>
      <c r="G116" s="101"/>
      <c r="H116" s="101"/>
      <c r="I116" s="101"/>
      <c r="J116" s="101"/>
      <c r="K116" s="101"/>
      <c r="L116" s="109"/>
      <c r="M116" s="109"/>
      <c r="N116" s="109"/>
      <c r="O116" s="109"/>
      <c r="P116" s="109"/>
      <c r="Q116" s="17">
        <f t="shared" si="13"/>
        <v>0</v>
      </c>
    </row>
    <row r="117" spans="1:17" ht="15" thickBot="1">
      <c r="A117" s="110" t="s">
        <v>172</v>
      </c>
      <c r="B117" s="103" t="s">
        <v>170</v>
      </c>
      <c r="C117" s="63"/>
      <c r="D117" s="63"/>
      <c r="E117" s="122"/>
      <c r="F117" s="122"/>
      <c r="G117" s="101"/>
      <c r="H117" s="101"/>
      <c r="I117" s="101"/>
      <c r="J117" s="101"/>
      <c r="K117" s="101"/>
      <c r="L117" s="109"/>
      <c r="M117" s="109"/>
      <c r="N117" s="109"/>
      <c r="O117" s="109"/>
      <c r="P117" s="109"/>
      <c r="Q117" s="17">
        <f t="shared" si="13"/>
        <v>0</v>
      </c>
    </row>
    <row r="118" spans="1:17" ht="15" thickBot="1">
      <c r="A118" s="110" t="s">
        <v>172</v>
      </c>
      <c r="B118" s="103" t="s">
        <v>171</v>
      </c>
      <c r="C118" s="63"/>
      <c r="D118" s="63"/>
      <c r="E118" s="122"/>
      <c r="F118" s="122"/>
      <c r="G118" s="101"/>
      <c r="H118" s="101"/>
      <c r="I118" s="101"/>
      <c r="J118" s="101"/>
      <c r="K118" s="101"/>
      <c r="L118" s="109"/>
      <c r="M118" s="109"/>
      <c r="N118" s="109"/>
      <c r="O118" s="109"/>
      <c r="P118" s="109"/>
      <c r="Q118" s="17">
        <f t="shared" si="13"/>
        <v>0</v>
      </c>
    </row>
    <row r="119" spans="1:19" s="65" customFormat="1" ht="15" thickBot="1">
      <c r="A119" s="196" t="s">
        <v>207</v>
      </c>
      <c r="B119" s="197"/>
      <c r="C119" s="45">
        <f>+D119/Metas!S27</f>
        <v>0</v>
      </c>
      <c r="D119" s="19">
        <f>+Q119/R119</f>
        <v>0</v>
      </c>
      <c r="E119" s="85">
        <f>SUM(E107:E118)</f>
        <v>0</v>
      </c>
      <c r="F119" s="85">
        <f aca="true" t="shared" si="14" ref="F119:P119">SUM(F107:F118)</f>
        <v>0</v>
      </c>
      <c r="G119" s="85">
        <f t="shared" si="14"/>
        <v>0</v>
      </c>
      <c r="H119" s="85">
        <f t="shared" si="14"/>
        <v>0</v>
      </c>
      <c r="I119" s="85">
        <f t="shared" si="14"/>
        <v>0</v>
      </c>
      <c r="J119" s="85">
        <f t="shared" si="14"/>
        <v>0</v>
      </c>
      <c r="K119" s="85">
        <f t="shared" si="14"/>
        <v>0</v>
      </c>
      <c r="L119" s="85">
        <f t="shared" si="14"/>
        <v>0</v>
      </c>
      <c r="M119" s="85">
        <f t="shared" si="14"/>
        <v>0</v>
      </c>
      <c r="N119" s="85">
        <f t="shared" si="14"/>
        <v>0</v>
      </c>
      <c r="O119" s="85">
        <f t="shared" si="14"/>
        <v>0</v>
      </c>
      <c r="P119" s="85">
        <f t="shared" si="14"/>
        <v>0</v>
      </c>
      <c r="Q119" s="85">
        <f>SUM(Q107:Q118)</f>
        <v>0</v>
      </c>
      <c r="R119" s="239">
        <v>364</v>
      </c>
      <c r="S119" s="240"/>
    </row>
    <row r="120" spans="1:17" ht="15" thickBot="1">
      <c r="A120" s="110" t="s">
        <v>186</v>
      </c>
      <c r="B120" s="103" t="s">
        <v>173</v>
      </c>
      <c r="C120" s="63"/>
      <c r="D120" s="63"/>
      <c r="E120" s="122"/>
      <c r="F120" s="122"/>
      <c r="G120" s="101"/>
      <c r="H120" s="101"/>
      <c r="I120" s="101"/>
      <c r="J120" s="101"/>
      <c r="K120" s="101"/>
      <c r="L120" s="109"/>
      <c r="M120" s="109"/>
      <c r="N120" s="109"/>
      <c r="O120" s="109"/>
      <c r="P120" s="109"/>
      <c r="Q120" s="17">
        <f aca="true" t="shared" si="15" ref="Q120:Q132">SUM(E120:P120)</f>
        <v>0</v>
      </c>
    </row>
    <row r="121" spans="1:17" ht="15" thickBot="1">
      <c r="A121" s="110" t="s">
        <v>186</v>
      </c>
      <c r="B121" s="103" t="s">
        <v>174</v>
      </c>
      <c r="C121" s="63"/>
      <c r="D121" s="63"/>
      <c r="E121" s="122"/>
      <c r="F121" s="122"/>
      <c r="G121" s="101"/>
      <c r="H121" s="101"/>
      <c r="I121" s="101"/>
      <c r="J121" s="101"/>
      <c r="K121" s="101"/>
      <c r="L121" s="109"/>
      <c r="M121" s="109"/>
      <c r="N121" s="109"/>
      <c r="O121" s="109"/>
      <c r="P121" s="109"/>
      <c r="Q121" s="17">
        <f t="shared" si="15"/>
        <v>0</v>
      </c>
    </row>
    <row r="122" spans="1:17" ht="15" thickBot="1">
      <c r="A122" s="110" t="s">
        <v>186</v>
      </c>
      <c r="B122" s="103" t="s">
        <v>175</v>
      </c>
      <c r="C122" s="63"/>
      <c r="D122" s="63"/>
      <c r="E122" s="122"/>
      <c r="F122" s="122"/>
      <c r="G122" s="101"/>
      <c r="H122" s="101"/>
      <c r="I122" s="101"/>
      <c r="J122" s="101"/>
      <c r="K122" s="101"/>
      <c r="L122" s="109"/>
      <c r="M122" s="109"/>
      <c r="N122" s="109"/>
      <c r="O122" s="109"/>
      <c r="P122" s="109"/>
      <c r="Q122" s="17">
        <f t="shared" si="15"/>
        <v>0</v>
      </c>
    </row>
    <row r="123" spans="1:17" ht="15" thickBot="1">
      <c r="A123" s="110" t="s">
        <v>186</v>
      </c>
      <c r="B123" s="103" t="s">
        <v>176</v>
      </c>
      <c r="C123" s="63"/>
      <c r="D123" s="63"/>
      <c r="E123" s="122"/>
      <c r="F123" s="122"/>
      <c r="G123" s="101"/>
      <c r="H123" s="101"/>
      <c r="I123" s="101"/>
      <c r="J123" s="101"/>
      <c r="K123" s="101"/>
      <c r="L123" s="109"/>
      <c r="M123" s="109"/>
      <c r="N123" s="109"/>
      <c r="O123" s="109"/>
      <c r="P123" s="109"/>
      <c r="Q123" s="17">
        <f t="shared" si="15"/>
        <v>0</v>
      </c>
    </row>
    <row r="124" spans="1:17" ht="15" thickBot="1">
      <c r="A124" s="110" t="s">
        <v>186</v>
      </c>
      <c r="B124" s="103" t="s">
        <v>177</v>
      </c>
      <c r="C124" s="63"/>
      <c r="D124" s="63"/>
      <c r="E124" s="122"/>
      <c r="F124" s="122"/>
      <c r="G124" s="101"/>
      <c r="H124" s="101"/>
      <c r="I124" s="101"/>
      <c r="J124" s="101"/>
      <c r="K124" s="101"/>
      <c r="L124" s="109"/>
      <c r="M124" s="109"/>
      <c r="N124" s="109"/>
      <c r="O124" s="109"/>
      <c r="P124" s="109"/>
      <c r="Q124" s="17">
        <f t="shared" si="15"/>
        <v>0</v>
      </c>
    </row>
    <row r="125" spans="1:17" ht="15" thickBot="1">
      <c r="A125" s="110" t="s">
        <v>186</v>
      </c>
      <c r="B125" s="103" t="s">
        <v>178</v>
      </c>
      <c r="C125" s="63"/>
      <c r="D125" s="63"/>
      <c r="E125" s="122"/>
      <c r="F125" s="122"/>
      <c r="G125" s="101"/>
      <c r="H125" s="101"/>
      <c r="I125" s="101"/>
      <c r="J125" s="101"/>
      <c r="K125" s="101"/>
      <c r="L125" s="109"/>
      <c r="M125" s="109"/>
      <c r="N125" s="109"/>
      <c r="O125" s="109"/>
      <c r="P125" s="109"/>
      <c r="Q125" s="17">
        <f t="shared" si="15"/>
        <v>0</v>
      </c>
    </row>
    <row r="126" spans="1:17" ht="15" thickBot="1">
      <c r="A126" s="110" t="s">
        <v>186</v>
      </c>
      <c r="B126" s="103" t="s">
        <v>179</v>
      </c>
      <c r="C126" s="63"/>
      <c r="D126" s="63"/>
      <c r="E126" s="122"/>
      <c r="F126" s="122"/>
      <c r="G126" s="101"/>
      <c r="H126" s="101"/>
      <c r="I126" s="101"/>
      <c r="J126" s="101"/>
      <c r="K126" s="101"/>
      <c r="L126" s="109"/>
      <c r="M126" s="109"/>
      <c r="N126" s="109"/>
      <c r="O126" s="109"/>
      <c r="P126" s="109"/>
      <c r="Q126" s="17">
        <f t="shared" si="15"/>
        <v>0</v>
      </c>
    </row>
    <row r="127" spans="1:17" ht="15" thickBot="1">
      <c r="A127" s="110" t="s">
        <v>186</v>
      </c>
      <c r="B127" s="103" t="s">
        <v>180</v>
      </c>
      <c r="C127" s="63"/>
      <c r="D127" s="63"/>
      <c r="E127" s="122"/>
      <c r="F127" s="122"/>
      <c r="G127" s="101"/>
      <c r="H127" s="101"/>
      <c r="I127" s="101"/>
      <c r="J127" s="101"/>
      <c r="K127" s="101"/>
      <c r="L127" s="109"/>
      <c r="M127" s="109"/>
      <c r="N127" s="109"/>
      <c r="O127" s="109"/>
      <c r="P127" s="109"/>
      <c r="Q127" s="17">
        <f t="shared" si="15"/>
        <v>0</v>
      </c>
    </row>
    <row r="128" spans="1:17" ht="15" thickBot="1">
      <c r="A128" s="110" t="s">
        <v>186</v>
      </c>
      <c r="B128" s="103" t="s">
        <v>181</v>
      </c>
      <c r="C128" s="63"/>
      <c r="D128" s="63"/>
      <c r="E128" s="122"/>
      <c r="F128" s="122"/>
      <c r="G128" s="101"/>
      <c r="H128" s="101"/>
      <c r="I128" s="101"/>
      <c r="J128" s="101"/>
      <c r="K128" s="101"/>
      <c r="L128" s="109"/>
      <c r="M128" s="109"/>
      <c r="N128" s="109"/>
      <c r="O128" s="109"/>
      <c r="P128" s="109"/>
      <c r="Q128" s="17">
        <f t="shared" si="15"/>
        <v>0</v>
      </c>
    </row>
    <row r="129" spans="1:17" ht="15" thickBot="1">
      <c r="A129" s="110" t="s">
        <v>186</v>
      </c>
      <c r="B129" s="103" t="s">
        <v>182</v>
      </c>
      <c r="C129" s="63"/>
      <c r="D129" s="63"/>
      <c r="E129" s="122"/>
      <c r="F129" s="122"/>
      <c r="G129" s="101"/>
      <c r="H129" s="101"/>
      <c r="I129" s="101"/>
      <c r="J129" s="101"/>
      <c r="K129" s="101"/>
      <c r="L129" s="109"/>
      <c r="M129" s="109"/>
      <c r="N129" s="109"/>
      <c r="O129" s="109"/>
      <c r="P129" s="109"/>
      <c r="Q129" s="17">
        <f t="shared" si="15"/>
        <v>0</v>
      </c>
    </row>
    <row r="130" spans="1:17" ht="15" thickBot="1">
      <c r="A130" s="110" t="s">
        <v>186</v>
      </c>
      <c r="B130" s="103" t="s">
        <v>183</v>
      </c>
      <c r="C130" s="63"/>
      <c r="D130" s="63"/>
      <c r="E130" s="122"/>
      <c r="F130" s="122"/>
      <c r="G130" s="101"/>
      <c r="H130" s="101"/>
      <c r="I130" s="101"/>
      <c r="J130" s="101"/>
      <c r="K130" s="101"/>
      <c r="L130" s="109"/>
      <c r="M130" s="109"/>
      <c r="N130" s="109"/>
      <c r="O130" s="109"/>
      <c r="P130" s="109"/>
      <c r="Q130" s="17">
        <f t="shared" si="15"/>
        <v>0</v>
      </c>
    </row>
    <row r="131" spans="1:17" ht="15" thickBot="1">
      <c r="A131" s="110" t="s">
        <v>186</v>
      </c>
      <c r="B131" s="103" t="s">
        <v>184</v>
      </c>
      <c r="C131" s="63"/>
      <c r="D131" s="63"/>
      <c r="E131" s="122"/>
      <c r="F131" s="122"/>
      <c r="G131" s="101"/>
      <c r="H131" s="101"/>
      <c r="I131" s="101"/>
      <c r="J131" s="101"/>
      <c r="K131" s="101"/>
      <c r="L131" s="109"/>
      <c r="M131" s="109"/>
      <c r="N131" s="109"/>
      <c r="O131" s="109"/>
      <c r="P131" s="109"/>
      <c r="Q131" s="17">
        <f t="shared" si="15"/>
        <v>0</v>
      </c>
    </row>
    <row r="132" spans="1:17" ht="15" thickBot="1">
      <c r="A132" s="110" t="s">
        <v>186</v>
      </c>
      <c r="B132" s="103" t="s">
        <v>185</v>
      </c>
      <c r="C132" s="63"/>
      <c r="D132" s="63"/>
      <c r="E132" s="122"/>
      <c r="F132" s="122"/>
      <c r="G132" s="101"/>
      <c r="H132" s="101"/>
      <c r="I132" s="101"/>
      <c r="J132" s="101"/>
      <c r="K132" s="101"/>
      <c r="L132" s="109"/>
      <c r="M132" s="109"/>
      <c r="N132" s="109"/>
      <c r="O132" s="109"/>
      <c r="P132" s="109"/>
      <c r="Q132" s="17">
        <f t="shared" si="15"/>
        <v>0</v>
      </c>
    </row>
    <row r="133" spans="1:19" s="65" customFormat="1" ht="15" thickBot="1">
      <c r="A133" s="196" t="s">
        <v>208</v>
      </c>
      <c r="B133" s="197"/>
      <c r="C133" s="45">
        <f>+D133/Metas!S32</f>
        <v>0</v>
      </c>
      <c r="D133" s="19">
        <f>+Q133/R133</f>
        <v>0</v>
      </c>
      <c r="E133" s="85">
        <f>SUM(E120:E132)</f>
        <v>0</v>
      </c>
      <c r="F133" s="85">
        <f aca="true" t="shared" si="16" ref="F133:P133">SUM(F120:F132)</f>
        <v>0</v>
      </c>
      <c r="G133" s="85">
        <f t="shared" si="16"/>
        <v>0</v>
      </c>
      <c r="H133" s="85">
        <f t="shared" si="16"/>
        <v>0</v>
      </c>
      <c r="I133" s="85">
        <f t="shared" si="16"/>
        <v>0</v>
      </c>
      <c r="J133" s="85">
        <f t="shared" si="16"/>
        <v>0</v>
      </c>
      <c r="K133" s="85">
        <f t="shared" si="16"/>
        <v>0</v>
      </c>
      <c r="L133" s="85">
        <f t="shared" si="16"/>
        <v>0</v>
      </c>
      <c r="M133" s="85">
        <f t="shared" si="16"/>
        <v>0</v>
      </c>
      <c r="N133" s="85">
        <f t="shared" si="16"/>
        <v>0</v>
      </c>
      <c r="O133" s="85">
        <f t="shared" si="16"/>
        <v>0</v>
      </c>
      <c r="P133" s="85">
        <f t="shared" si="16"/>
        <v>0</v>
      </c>
      <c r="Q133" s="85">
        <f>SUM(Q120:Q132)</f>
        <v>0</v>
      </c>
      <c r="R133" s="239">
        <v>2147</v>
      </c>
      <c r="S133" s="240"/>
    </row>
    <row r="134" spans="1:17" ht="15" thickBot="1">
      <c r="A134" s="110" t="s">
        <v>191</v>
      </c>
      <c r="B134" s="103" t="s">
        <v>187</v>
      </c>
      <c r="C134" s="63"/>
      <c r="D134" s="63"/>
      <c r="E134" s="84"/>
      <c r="F134" s="84"/>
      <c r="G134" s="64"/>
      <c r="H134" s="64"/>
      <c r="I134" s="64"/>
      <c r="J134" s="64"/>
      <c r="K134" s="64"/>
      <c r="Q134" s="17">
        <f>SUM(E134:P134)</f>
        <v>0</v>
      </c>
    </row>
    <row r="135" spans="1:17" ht="15" thickBot="1">
      <c r="A135" s="110" t="s">
        <v>191</v>
      </c>
      <c r="B135" s="103" t="s">
        <v>188</v>
      </c>
      <c r="C135" s="63"/>
      <c r="D135" s="63"/>
      <c r="E135" s="84"/>
      <c r="F135" s="84"/>
      <c r="G135" s="64"/>
      <c r="H135" s="64"/>
      <c r="I135" s="64"/>
      <c r="J135" s="64"/>
      <c r="K135" s="64"/>
      <c r="Q135" s="17">
        <f>SUM(E135:P135)</f>
        <v>0</v>
      </c>
    </row>
    <row r="136" spans="1:17" ht="15" thickBot="1">
      <c r="A136" s="110" t="s">
        <v>191</v>
      </c>
      <c r="B136" s="103" t="s">
        <v>189</v>
      </c>
      <c r="C136" s="63"/>
      <c r="D136" s="63"/>
      <c r="E136" s="84"/>
      <c r="F136" s="84"/>
      <c r="G136" s="64"/>
      <c r="H136" s="64"/>
      <c r="I136" s="64"/>
      <c r="J136" s="64"/>
      <c r="K136" s="64"/>
      <c r="Q136" s="17">
        <f>SUM(E136:P136)</f>
        <v>0</v>
      </c>
    </row>
    <row r="137" spans="1:17" ht="15" thickBot="1">
      <c r="A137" s="110" t="s">
        <v>191</v>
      </c>
      <c r="B137" s="103" t="s">
        <v>190</v>
      </c>
      <c r="C137" s="63"/>
      <c r="D137" s="63"/>
      <c r="E137" s="84"/>
      <c r="F137" s="84"/>
      <c r="G137" s="64"/>
      <c r="H137" s="64"/>
      <c r="I137" s="64"/>
      <c r="J137" s="64"/>
      <c r="K137" s="64"/>
      <c r="Q137" s="17">
        <f>SUM(E137:P137)</f>
        <v>0</v>
      </c>
    </row>
    <row r="138" spans="1:19" s="65" customFormat="1" ht="15" thickBot="1">
      <c r="A138" s="196" t="s">
        <v>209</v>
      </c>
      <c r="B138" s="197"/>
      <c r="C138" s="45">
        <f>+D138/Metas!S34</f>
        <v>0</v>
      </c>
      <c r="D138" s="19">
        <f>+Q138/R138</f>
        <v>0</v>
      </c>
      <c r="E138" s="85">
        <f>SUM(E134:E137)</f>
        <v>0</v>
      </c>
      <c r="F138" s="85">
        <f aca="true" t="shared" si="17" ref="F138:P138">SUM(F134:F137)</f>
        <v>0</v>
      </c>
      <c r="G138" s="85">
        <f t="shared" si="17"/>
        <v>0</v>
      </c>
      <c r="H138" s="85">
        <f t="shared" si="17"/>
        <v>0</v>
      </c>
      <c r="I138" s="85">
        <f t="shared" si="17"/>
        <v>0</v>
      </c>
      <c r="J138" s="85">
        <f t="shared" si="17"/>
        <v>0</v>
      </c>
      <c r="K138" s="85">
        <f t="shared" si="17"/>
        <v>0</v>
      </c>
      <c r="L138" s="85">
        <f t="shared" si="17"/>
        <v>0</v>
      </c>
      <c r="M138" s="85">
        <f t="shared" si="17"/>
        <v>0</v>
      </c>
      <c r="N138" s="85">
        <f t="shared" si="17"/>
        <v>0</v>
      </c>
      <c r="O138" s="85">
        <f t="shared" si="17"/>
        <v>0</v>
      </c>
      <c r="P138" s="85">
        <f t="shared" si="17"/>
        <v>0</v>
      </c>
      <c r="Q138" s="85">
        <f>SUM(Q134:Q137)</f>
        <v>0</v>
      </c>
      <c r="R138" s="239">
        <v>831</v>
      </c>
      <c r="S138" s="240"/>
    </row>
    <row r="139" spans="1:17" ht="15" thickBot="1">
      <c r="A139" s="110" t="s">
        <v>199</v>
      </c>
      <c r="B139" s="103" t="s">
        <v>192</v>
      </c>
      <c r="C139" s="63"/>
      <c r="D139" s="63"/>
      <c r="E139" s="122"/>
      <c r="F139" s="122"/>
      <c r="G139" s="101"/>
      <c r="H139" s="101"/>
      <c r="I139" s="101"/>
      <c r="J139" s="101"/>
      <c r="K139" s="101"/>
      <c r="L139" s="109"/>
      <c r="M139" s="109"/>
      <c r="N139" s="109"/>
      <c r="O139" s="109"/>
      <c r="Q139" s="17">
        <f aca="true" t="shared" si="18" ref="Q139:Q145">SUM(E139:P139)</f>
        <v>0</v>
      </c>
    </row>
    <row r="140" spans="1:17" ht="15" thickBot="1">
      <c r="A140" s="110" t="s">
        <v>199</v>
      </c>
      <c r="B140" s="103" t="s">
        <v>193</v>
      </c>
      <c r="C140" s="63"/>
      <c r="D140" s="63"/>
      <c r="E140" s="122"/>
      <c r="F140" s="122"/>
      <c r="G140" s="101"/>
      <c r="H140" s="101"/>
      <c r="I140" s="101"/>
      <c r="J140" s="101"/>
      <c r="K140" s="101"/>
      <c r="L140" s="109"/>
      <c r="M140" s="109"/>
      <c r="N140" s="109"/>
      <c r="O140" s="109"/>
      <c r="Q140" s="17">
        <f t="shared" si="18"/>
        <v>0</v>
      </c>
    </row>
    <row r="141" spans="1:17" ht="15" thickBot="1">
      <c r="A141" s="110" t="s">
        <v>199</v>
      </c>
      <c r="B141" s="103" t="s">
        <v>194</v>
      </c>
      <c r="C141" s="63"/>
      <c r="D141" s="63"/>
      <c r="E141" s="122"/>
      <c r="F141" s="122"/>
      <c r="G141" s="101"/>
      <c r="H141" s="101"/>
      <c r="I141" s="101"/>
      <c r="J141" s="101"/>
      <c r="K141" s="101"/>
      <c r="L141" s="109"/>
      <c r="M141" s="109"/>
      <c r="N141" s="109"/>
      <c r="O141" s="109"/>
      <c r="Q141" s="17">
        <f t="shared" si="18"/>
        <v>0</v>
      </c>
    </row>
    <row r="142" spans="1:17" ht="15" thickBot="1">
      <c r="A142" s="110" t="s">
        <v>199</v>
      </c>
      <c r="B142" s="103" t="s">
        <v>195</v>
      </c>
      <c r="C142" s="63"/>
      <c r="D142" s="63"/>
      <c r="E142" s="122"/>
      <c r="F142" s="122"/>
      <c r="G142" s="101"/>
      <c r="H142" s="101"/>
      <c r="I142" s="101"/>
      <c r="J142" s="101"/>
      <c r="K142" s="101"/>
      <c r="L142" s="109"/>
      <c r="M142" s="109"/>
      <c r="N142" s="109"/>
      <c r="O142" s="109"/>
      <c r="Q142" s="17">
        <f t="shared" si="18"/>
        <v>0</v>
      </c>
    </row>
    <row r="143" spans="1:17" ht="15" thickBot="1">
      <c r="A143" s="110" t="s">
        <v>199</v>
      </c>
      <c r="B143" s="103" t="s">
        <v>196</v>
      </c>
      <c r="C143" s="63"/>
      <c r="D143" s="63"/>
      <c r="E143" s="122"/>
      <c r="F143" s="122"/>
      <c r="G143" s="101"/>
      <c r="H143" s="101"/>
      <c r="I143" s="101"/>
      <c r="J143" s="101"/>
      <c r="K143" s="101"/>
      <c r="L143" s="109"/>
      <c r="M143" s="109"/>
      <c r="N143" s="109"/>
      <c r="O143" s="109"/>
      <c r="Q143" s="17">
        <f t="shared" si="18"/>
        <v>0</v>
      </c>
    </row>
    <row r="144" spans="1:17" ht="15" thickBot="1">
      <c r="A144" s="110" t="s">
        <v>199</v>
      </c>
      <c r="B144" s="103" t="s">
        <v>197</v>
      </c>
      <c r="C144" s="63"/>
      <c r="D144" s="63"/>
      <c r="E144" s="122"/>
      <c r="F144" s="122"/>
      <c r="G144" s="101"/>
      <c r="H144" s="101"/>
      <c r="I144" s="101"/>
      <c r="J144" s="101"/>
      <c r="K144" s="101"/>
      <c r="L144" s="109"/>
      <c r="M144" s="109"/>
      <c r="N144" s="109"/>
      <c r="O144" s="109"/>
      <c r="Q144" s="17">
        <f t="shared" si="18"/>
        <v>0</v>
      </c>
    </row>
    <row r="145" spans="1:17" ht="15" thickBot="1">
      <c r="A145" s="110" t="s">
        <v>199</v>
      </c>
      <c r="B145" s="103" t="s">
        <v>198</v>
      </c>
      <c r="C145" s="63"/>
      <c r="D145" s="63"/>
      <c r="E145" s="122"/>
      <c r="F145" s="122"/>
      <c r="G145" s="101"/>
      <c r="H145" s="101"/>
      <c r="I145" s="101"/>
      <c r="J145" s="101"/>
      <c r="K145" s="101"/>
      <c r="L145" s="109"/>
      <c r="M145" s="109"/>
      <c r="N145" s="109"/>
      <c r="O145" s="109"/>
      <c r="Q145" s="17">
        <f t="shared" si="18"/>
        <v>0</v>
      </c>
    </row>
    <row r="146" spans="1:19" s="65" customFormat="1" ht="15" thickBot="1">
      <c r="A146" s="196" t="s">
        <v>210</v>
      </c>
      <c r="B146" s="197"/>
      <c r="C146" s="45">
        <f>+D146/Metas!S35</f>
        <v>0</v>
      </c>
      <c r="D146" s="19">
        <f>+Q146/R146</f>
        <v>0</v>
      </c>
      <c r="E146" s="85">
        <f>SUM(E139:E145)</f>
        <v>0</v>
      </c>
      <c r="F146" s="85">
        <f aca="true" t="shared" si="19" ref="F146:P146">SUM(F139:F145)</f>
        <v>0</v>
      </c>
      <c r="G146" s="85">
        <f t="shared" si="19"/>
        <v>0</v>
      </c>
      <c r="H146" s="85">
        <f t="shared" si="19"/>
        <v>0</v>
      </c>
      <c r="I146" s="85">
        <f t="shared" si="19"/>
        <v>0</v>
      </c>
      <c r="J146" s="85">
        <f t="shared" si="19"/>
        <v>0</v>
      </c>
      <c r="K146" s="85">
        <f t="shared" si="19"/>
        <v>0</v>
      </c>
      <c r="L146" s="85">
        <f t="shared" si="19"/>
        <v>0</v>
      </c>
      <c r="M146" s="85">
        <f t="shared" si="19"/>
        <v>0</v>
      </c>
      <c r="N146" s="85">
        <f t="shared" si="19"/>
        <v>0</v>
      </c>
      <c r="O146" s="85">
        <f t="shared" si="19"/>
        <v>0</v>
      </c>
      <c r="P146" s="85">
        <f t="shared" si="19"/>
        <v>0</v>
      </c>
      <c r="Q146" s="85">
        <f>SUM(Q139:Q145)</f>
        <v>0</v>
      </c>
      <c r="R146" s="239">
        <v>244</v>
      </c>
      <c r="S146" s="240"/>
    </row>
    <row r="147" spans="2:19" ht="14.25">
      <c r="B147" s="148" t="s">
        <v>215</v>
      </c>
      <c r="C147" s="72"/>
      <c r="D147" s="81"/>
      <c r="E147" s="84">
        <f aca="true" t="shared" si="20" ref="E147:S147">+E25+E36+E47+E61+E72+E78+E89+E106+E119+E133+E138+E146</f>
        <v>17</v>
      </c>
      <c r="F147" s="84">
        <f t="shared" si="20"/>
        <v>17</v>
      </c>
      <c r="G147" s="69">
        <f t="shared" si="20"/>
        <v>0</v>
      </c>
      <c r="H147" s="69">
        <f t="shared" si="20"/>
        <v>0</v>
      </c>
      <c r="I147" s="69">
        <f t="shared" si="20"/>
        <v>0</v>
      </c>
      <c r="J147" s="69">
        <f t="shared" si="20"/>
        <v>0</v>
      </c>
      <c r="K147" s="69">
        <f t="shared" si="20"/>
        <v>0</v>
      </c>
      <c r="L147" s="69">
        <f t="shared" si="20"/>
        <v>0</v>
      </c>
      <c r="M147" s="69">
        <f t="shared" si="20"/>
        <v>0</v>
      </c>
      <c r="N147" s="69">
        <f t="shared" si="20"/>
        <v>0</v>
      </c>
      <c r="O147" s="69">
        <f t="shared" si="20"/>
        <v>0</v>
      </c>
      <c r="P147" s="69">
        <f t="shared" si="20"/>
        <v>0</v>
      </c>
      <c r="Q147" s="76">
        <f t="shared" si="20"/>
        <v>34</v>
      </c>
      <c r="R147" s="291">
        <f t="shared" si="20"/>
        <v>40412</v>
      </c>
      <c r="S147" s="291">
        <f t="shared" si="20"/>
        <v>0</v>
      </c>
    </row>
    <row r="148" spans="3:4" ht="14.25">
      <c r="C148" s="74"/>
      <c r="D148" s="98"/>
    </row>
    <row r="150" ht="14.25">
      <c r="Q150" s="69"/>
    </row>
  </sheetData>
  <sheetProtection/>
  <mergeCells count="34">
    <mergeCell ref="R147:S147"/>
    <mergeCell ref="A133:B133"/>
    <mergeCell ref="R133:S133"/>
    <mergeCell ref="A138:B138"/>
    <mergeCell ref="R138:S138"/>
    <mergeCell ref="A146:B146"/>
    <mergeCell ref="R146:S146"/>
    <mergeCell ref="A89:B89"/>
    <mergeCell ref="R89:S89"/>
    <mergeCell ref="A106:B106"/>
    <mergeCell ref="R106:S106"/>
    <mergeCell ref="A119:B119"/>
    <mergeCell ref="R119:S119"/>
    <mergeCell ref="A61:B61"/>
    <mergeCell ref="R61:S61"/>
    <mergeCell ref="A72:B72"/>
    <mergeCell ref="R72:S72"/>
    <mergeCell ref="A78:B78"/>
    <mergeCell ref="R78:S78"/>
    <mergeCell ref="A25:B25"/>
    <mergeCell ref="R25:S25"/>
    <mergeCell ref="A36:B36"/>
    <mergeCell ref="R36:S36"/>
    <mergeCell ref="A47:B47"/>
    <mergeCell ref="R47:S47"/>
    <mergeCell ref="A1:A10"/>
    <mergeCell ref="B1:B10"/>
    <mergeCell ref="C1:C11"/>
    <mergeCell ref="D1:D10"/>
    <mergeCell ref="E1:S1"/>
    <mergeCell ref="E2:Q9"/>
    <mergeCell ref="R2:S9"/>
    <mergeCell ref="E10:Q10"/>
    <mergeCell ref="R10:S1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17"/>
  <sheetViews>
    <sheetView zoomScale="90" zoomScaleNormal="90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G6" sqref="G6"/>
    </sheetView>
  </sheetViews>
  <sheetFormatPr defaultColWidth="11.421875" defaultRowHeight="15"/>
  <cols>
    <col min="7" max="7" width="12.7109375" style="0" customWidth="1"/>
    <col min="12" max="12" width="13.421875" style="0" customWidth="1"/>
    <col min="17" max="18" width="12.57421875" style="0" bestFit="1" customWidth="1"/>
  </cols>
  <sheetData>
    <row r="1" spans="1:20" s="23" customFormat="1" ht="18">
      <c r="A1" s="298" t="s">
        <v>262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1"/>
    </row>
    <row r="2" spans="1:20" s="26" customFormat="1" ht="16.5" customHeight="1">
      <c r="A2" s="24"/>
      <c r="B2" s="24"/>
      <c r="C2" s="24"/>
      <c r="D2" s="24"/>
      <c r="E2" s="292" t="s">
        <v>230</v>
      </c>
      <c r="F2" s="295" t="s">
        <v>231</v>
      </c>
      <c r="G2" s="300" t="s">
        <v>232</v>
      </c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25"/>
    </row>
    <row r="3" spans="1:20" s="23" customFormat="1" ht="16.5">
      <c r="A3" s="27"/>
      <c r="B3" s="28"/>
      <c r="C3" s="27"/>
      <c r="D3" s="27"/>
      <c r="E3" s="293"/>
      <c r="F3" s="296"/>
      <c r="G3" s="29" t="s">
        <v>276</v>
      </c>
      <c r="H3" s="30" t="s">
        <v>277</v>
      </c>
      <c r="I3" s="30" t="s">
        <v>278</v>
      </c>
      <c r="J3" s="30" t="s">
        <v>279</v>
      </c>
      <c r="K3" s="30" t="s">
        <v>280</v>
      </c>
      <c r="L3" s="30" t="s">
        <v>281</v>
      </c>
      <c r="M3" s="30" t="s">
        <v>282</v>
      </c>
      <c r="N3" s="30" t="s">
        <v>283</v>
      </c>
      <c r="O3" s="30" t="s">
        <v>284</v>
      </c>
      <c r="P3" s="30" t="s">
        <v>285</v>
      </c>
      <c r="Q3" s="30" t="s">
        <v>263</v>
      </c>
      <c r="R3" s="30" t="s">
        <v>264</v>
      </c>
      <c r="S3" s="30" t="s">
        <v>296</v>
      </c>
      <c r="T3" s="21"/>
    </row>
    <row r="4" spans="1:20" s="33" customFormat="1" ht="165" customHeight="1">
      <c r="A4" s="27" t="s">
        <v>233</v>
      </c>
      <c r="B4" s="28" t="s">
        <v>234</v>
      </c>
      <c r="C4" s="27" t="s">
        <v>233</v>
      </c>
      <c r="D4" s="27" t="s">
        <v>0</v>
      </c>
      <c r="E4" s="293"/>
      <c r="F4" s="296"/>
      <c r="G4" s="31" t="s">
        <v>297</v>
      </c>
      <c r="H4" s="31" t="s">
        <v>298</v>
      </c>
      <c r="I4" s="31" t="s">
        <v>299</v>
      </c>
      <c r="J4" s="31" t="s">
        <v>300</v>
      </c>
      <c r="K4" s="31" t="s">
        <v>301</v>
      </c>
      <c r="L4" s="31" t="s">
        <v>302</v>
      </c>
      <c r="M4" s="31" t="s">
        <v>303</v>
      </c>
      <c r="N4" s="31" t="s">
        <v>304</v>
      </c>
      <c r="O4" s="31" t="s">
        <v>305</v>
      </c>
      <c r="P4" s="47" t="s">
        <v>306</v>
      </c>
      <c r="Q4" s="47" t="s">
        <v>307</v>
      </c>
      <c r="R4" s="47" t="s">
        <v>308</v>
      </c>
      <c r="S4" s="47" t="s">
        <v>309</v>
      </c>
      <c r="T4" s="32"/>
    </row>
    <row r="5" spans="1:20" s="26" customFormat="1" ht="23.25" customHeight="1">
      <c r="A5" s="34"/>
      <c r="B5" s="35"/>
      <c r="C5" s="34"/>
      <c r="D5" s="34"/>
      <c r="E5" s="294"/>
      <c r="F5" s="297"/>
      <c r="G5" s="154">
        <v>0.25</v>
      </c>
      <c r="H5" s="154">
        <v>0.26</v>
      </c>
      <c r="I5" s="154">
        <v>0.55</v>
      </c>
      <c r="J5" s="154">
        <v>0.87</v>
      </c>
      <c r="K5" s="154">
        <v>0.24</v>
      </c>
      <c r="L5" s="154">
        <v>0.97</v>
      </c>
      <c r="M5" s="154">
        <v>0.55</v>
      </c>
      <c r="N5" s="154">
        <v>0.71</v>
      </c>
      <c r="O5" s="154">
        <v>0.94</v>
      </c>
      <c r="P5" s="168">
        <v>0.22</v>
      </c>
      <c r="Q5" s="154">
        <v>0.22</v>
      </c>
      <c r="R5" s="154">
        <v>0.17</v>
      </c>
      <c r="S5" s="154">
        <v>0.15</v>
      </c>
      <c r="T5" s="25"/>
    </row>
    <row r="6" spans="1:20" s="23" customFormat="1" ht="16.5">
      <c r="A6" s="38">
        <v>17</v>
      </c>
      <c r="B6" s="39" t="s">
        <v>238</v>
      </c>
      <c r="C6" s="40">
        <v>5</v>
      </c>
      <c r="D6" s="41" t="s">
        <v>239</v>
      </c>
      <c r="E6" s="42">
        <v>4202</v>
      </c>
      <c r="F6" s="41" t="s">
        <v>240</v>
      </c>
      <c r="G6" s="150">
        <v>0.21</v>
      </c>
      <c r="H6" s="150">
        <v>0.34</v>
      </c>
      <c r="I6" s="150">
        <v>0.7</v>
      </c>
      <c r="J6" s="150">
        <v>0.82</v>
      </c>
      <c r="K6" s="150">
        <v>0.4</v>
      </c>
      <c r="L6" s="150">
        <v>0.98</v>
      </c>
      <c r="M6" s="150">
        <v>0.42</v>
      </c>
      <c r="N6" s="150">
        <v>0.7</v>
      </c>
      <c r="O6" s="150">
        <v>0.94</v>
      </c>
      <c r="P6" s="151">
        <v>0.35</v>
      </c>
      <c r="Q6" s="150">
        <v>0.22</v>
      </c>
      <c r="R6" s="150">
        <v>0.15</v>
      </c>
      <c r="S6" s="150">
        <v>0.15</v>
      </c>
      <c r="T6" s="21"/>
    </row>
    <row r="7" spans="1:20" s="23" customFormat="1" ht="16.5">
      <c r="A7" s="38">
        <v>18</v>
      </c>
      <c r="B7" s="39" t="s">
        <v>238</v>
      </c>
      <c r="C7" s="40">
        <v>5</v>
      </c>
      <c r="D7" s="41" t="s">
        <v>241</v>
      </c>
      <c r="E7" s="42">
        <v>4302</v>
      </c>
      <c r="F7" s="41" t="s">
        <v>240</v>
      </c>
      <c r="G7" s="150">
        <v>0.2</v>
      </c>
      <c r="H7" s="150">
        <v>0.38</v>
      </c>
      <c r="I7" s="150">
        <v>0.69</v>
      </c>
      <c r="J7" s="150">
        <v>0.82</v>
      </c>
      <c r="K7" s="150">
        <v>0.26</v>
      </c>
      <c r="L7" s="150">
        <v>0.98</v>
      </c>
      <c r="M7" s="150">
        <v>0.42</v>
      </c>
      <c r="N7" s="150">
        <v>0.78</v>
      </c>
      <c r="O7" s="150">
        <v>0.97</v>
      </c>
      <c r="P7" s="151">
        <v>0.56</v>
      </c>
      <c r="Q7" s="150">
        <v>0.22</v>
      </c>
      <c r="R7" s="150">
        <v>0.17</v>
      </c>
      <c r="S7" s="150">
        <v>0.15</v>
      </c>
      <c r="T7" s="21"/>
    </row>
    <row r="8" spans="1:20" s="23" customFormat="1" ht="16.5">
      <c r="A8" s="38">
        <v>19</v>
      </c>
      <c r="B8" s="39" t="s">
        <v>238</v>
      </c>
      <c r="C8" s="40">
        <v>5</v>
      </c>
      <c r="D8" s="41" t="s">
        <v>238</v>
      </c>
      <c r="E8" s="42">
        <v>4102</v>
      </c>
      <c r="F8" s="41" t="s">
        <v>242</v>
      </c>
      <c r="G8" s="150">
        <v>0.18</v>
      </c>
      <c r="H8" s="150">
        <v>0.27</v>
      </c>
      <c r="I8" s="150">
        <v>0.46</v>
      </c>
      <c r="J8" s="150">
        <v>0.87</v>
      </c>
      <c r="K8" s="150">
        <v>0.21</v>
      </c>
      <c r="L8" s="150">
        <v>0.98</v>
      </c>
      <c r="M8" s="150">
        <v>0.55</v>
      </c>
      <c r="N8" s="150">
        <v>0.6</v>
      </c>
      <c r="O8" s="150">
        <v>0.97</v>
      </c>
      <c r="P8" s="151">
        <v>0.32</v>
      </c>
      <c r="Q8" s="150">
        <v>0.22</v>
      </c>
      <c r="R8" s="150">
        <v>0.17</v>
      </c>
      <c r="S8" s="150">
        <v>0.13</v>
      </c>
      <c r="T8" s="21"/>
    </row>
    <row r="9" spans="1:20" s="23" customFormat="1" ht="16.5">
      <c r="A9" s="38">
        <v>20</v>
      </c>
      <c r="B9" s="39" t="s">
        <v>238</v>
      </c>
      <c r="C9" s="40">
        <v>5</v>
      </c>
      <c r="D9" s="41" t="s">
        <v>243</v>
      </c>
      <c r="E9" s="42">
        <v>4201</v>
      </c>
      <c r="F9" s="41" t="s">
        <v>240</v>
      </c>
      <c r="G9" s="150">
        <v>0.25</v>
      </c>
      <c r="H9" s="150">
        <v>0.41</v>
      </c>
      <c r="I9" s="150">
        <v>0.55</v>
      </c>
      <c r="J9" s="150">
        <v>0.9</v>
      </c>
      <c r="K9" s="150">
        <v>0.36</v>
      </c>
      <c r="L9" s="150">
        <v>0.98</v>
      </c>
      <c r="M9" s="150">
        <v>0.43</v>
      </c>
      <c r="N9" s="150">
        <v>0.72</v>
      </c>
      <c r="O9" s="150">
        <v>0.97</v>
      </c>
      <c r="P9" s="151">
        <v>0.43</v>
      </c>
      <c r="Q9" s="150">
        <v>0.22</v>
      </c>
      <c r="R9" s="150">
        <v>0.17</v>
      </c>
      <c r="S9" s="150">
        <v>0.15</v>
      </c>
      <c r="T9" s="21"/>
    </row>
    <row r="10" spans="1:20" s="23" customFormat="1" ht="16.5">
      <c r="A10" s="38">
        <v>21</v>
      </c>
      <c r="B10" s="39" t="s">
        <v>238</v>
      </c>
      <c r="C10" s="40">
        <v>5</v>
      </c>
      <c r="D10" s="41" t="s">
        <v>244</v>
      </c>
      <c r="E10" s="42">
        <v>4101</v>
      </c>
      <c r="F10" s="41" t="s">
        <v>242</v>
      </c>
      <c r="G10" s="150">
        <v>0.2</v>
      </c>
      <c r="H10" s="150">
        <v>0.25</v>
      </c>
      <c r="I10" s="152">
        <v>0.47</v>
      </c>
      <c r="J10" s="150">
        <v>0.89</v>
      </c>
      <c r="K10" s="150">
        <v>0.21</v>
      </c>
      <c r="L10" s="150">
        <v>0.98</v>
      </c>
      <c r="M10" s="150">
        <v>0.5</v>
      </c>
      <c r="N10" s="150">
        <v>0.63</v>
      </c>
      <c r="O10" s="150">
        <v>0.95</v>
      </c>
      <c r="P10" s="151">
        <v>0.25</v>
      </c>
      <c r="Q10" s="150">
        <v>0.22</v>
      </c>
      <c r="R10" s="150">
        <v>0.17</v>
      </c>
      <c r="S10" s="150">
        <v>0.13</v>
      </c>
      <c r="T10" s="21"/>
    </row>
    <row r="11" spans="1:20" s="23" customFormat="1" ht="16.5">
      <c r="A11" s="38">
        <v>22</v>
      </c>
      <c r="B11" s="39" t="s">
        <v>238</v>
      </c>
      <c r="C11" s="40">
        <v>5</v>
      </c>
      <c r="D11" s="41" t="s">
        <v>245</v>
      </c>
      <c r="E11" s="42">
        <v>4203</v>
      </c>
      <c r="F11" s="41" t="s">
        <v>240</v>
      </c>
      <c r="G11" s="150">
        <v>0.18</v>
      </c>
      <c r="H11" s="150">
        <v>0.28</v>
      </c>
      <c r="I11" s="150">
        <v>0.62</v>
      </c>
      <c r="J11" s="150">
        <v>0.82</v>
      </c>
      <c r="K11" s="150">
        <v>0.24</v>
      </c>
      <c r="L11" s="150">
        <v>0.98</v>
      </c>
      <c r="M11" s="150">
        <v>0.43</v>
      </c>
      <c r="N11" s="150">
        <v>0.75</v>
      </c>
      <c r="O11" s="150">
        <v>0.97</v>
      </c>
      <c r="P11" s="151">
        <v>0.48</v>
      </c>
      <c r="Q11" s="150">
        <v>0.22</v>
      </c>
      <c r="R11" s="150">
        <v>0.19</v>
      </c>
      <c r="S11" s="150">
        <v>0.15</v>
      </c>
      <c r="T11" s="21"/>
    </row>
    <row r="12" spans="1:20" s="23" customFormat="1" ht="16.5">
      <c r="A12" s="38">
        <v>23</v>
      </c>
      <c r="B12" s="39" t="s">
        <v>238</v>
      </c>
      <c r="C12" s="40">
        <v>5</v>
      </c>
      <c r="D12" s="41" t="s">
        <v>246</v>
      </c>
      <c r="E12" s="42">
        <v>4303</v>
      </c>
      <c r="F12" s="41" t="s">
        <v>240</v>
      </c>
      <c r="G12" s="150">
        <v>0.18</v>
      </c>
      <c r="H12" s="150">
        <v>0.26</v>
      </c>
      <c r="I12" s="150">
        <v>0.66</v>
      </c>
      <c r="J12" s="150">
        <v>0.87</v>
      </c>
      <c r="K12" s="150">
        <v>0.21</v>
      </c>
      <c r="L12" s="150">
        <v>0.98</v>
      </c>
      <c r="M12" s="150">
        <v>0.45</v>
      </c>
      <c r="N12" s="150">
        <v>0.66</v>
      </c>
      <c r="O12" s="150">
        <v>0.94</v>
      </c>
      <c r="P12" s="151">
        <v>0.29</v>
      </c>
      <c r="Q12" s="150">
        <v>0.22</v>
      </c>
      <c r="R12" s="150">
        <v>0.17</v>
      </c>
      <c r="S12" s="150">
        <v>0.15</v>
      </c>
      <c r="T12" s="21"/>
    </row>
    <row r="13" spans="1:20" s="23" customFormat="1" ht="16.5">
      <c r="A13" s="38">
        <v>24</v>
      </c>
      <c r="B13" s="39" t="s">
        <v>238</v>
      </c>
      <c r="C13" s="40">
        <v>5</v>
      </c>
      <c r="D13" s="41" t="s">
        <v>247</v>
      </c>
      <c r="E13" s="42">
        <v>4301</v>
      </c>
      <c r="F13" s="41" t="s">
        <v>240</v>
      </c>
      <c r="G13" s="150">
        <v>0.2</v>
      </c>
      <c r="H13" s="150">
        <v>0.27</v>
      </c>
      <c r="I13" s="150">
        <v>0.55</v>
      </c>
      <c r="J13" s="150">
        <v>0.87</v>
      </c>
      <c r="K13" s="150">
        <v>0.23</v>
      </c>
      <c r="L13" s="150">
        <v>0.98</v>
      </c>
      <c r="M13" s="150">
        <v>0.55</v>
      </c>
      <c r="N13" s="150">
        <v>0.7</v>
      </c>
      <c r="O13" s="150">
        <v>0.97</v>
      </c>
      <c r="P13" s="151">
        <v>0.25</v>
      </c>
      <c r="Q13" s="150">
        <v>0.22</v>
      </c>
      <c r="R13" s="150">
        <v>0.17</v>
      </c>
      <c r="S13" s="150">
        <v>0.13</v>
      </c>
      <c r="T13" s="21"/>
    </row>
    <row r="14" spans="1:20" s="23" customFormat="1" ht="16.5">
      <c r="A14" s="38">
        <v>25</v>
      </c>
      <c r="B14" s="39" t="s">
        <v>238</v>
      </c>
      <c r="C14" s="40">
        <v>5</v>
      </c>
      <c r="D14" s="41" t="s">
        <v>248</v>
      </c>
      <c r="E14" s="42">
        <v>4304</v>
      </c>
      <c r="F14" s="41" t="s">
        <v>240</v>
      </c>
      <c r="G14" s="150">
        <v>0.18</v>
      </c>
      <c r="H14" s="150">
        <v>0.32</v>
      </c>
      <c r="I14" s="150">
        <v>0.55</v>
      </c>
      <c r="J14" s="150">
        <v>0.9</v>
      </c>
      <c r="K14" s="150">
        <v>0.24</v>
      </c>
      <c r="L14" s="150">
        <v>0.98</v>
      </c>
      <c r="M14" s="150">
        <v>0.57</v>
      </c>
      <c r="N14" s="150">
        <v>0.8</v>
      </c>
      <c r="O14" s="150">
        <v>0.94</v>
      </c>
      <c r="P14" s="151">
        <v>0.25</v>
      </c>
      <c r="Q14" s="150">
        <v>0.22</v>
      </c>
      <c r="R14" s="150">
        <v>0.17</v>
      </c>
      <c r="S14" s="150">
        <v>0.13</v>
      </c>
      <c r="T14" s="21"/>
    </row>
    <row r="15" spans="1:20" s="23" customFormat="1" ht="16.5">
      <c r="A15" s="38">
        <v>26</v>
      </c>
      <c r="B15" s="39" t="s">
        <v>238</v>
      </c>
      <c r="C15" s="40">
        <v>5</v>
      </c>
      <c r="D15" s="41" t="s">
        <v>249</v>
      </c>
      <c r="E15" s="42">
        <v>4305</v>
      </c>
      <c r="F15" s="41" t="s">
        <v>240</v>
      </c>
      <c r="G15" s="150">
        <v>0.2</v>
      </c>
      <c r="H15" s="150">
        <v>0.68</v>
      </c>
      <c r="I15" s="150">
        <v>0.64</v>
      </c>
      <c r="J15" s="150">
        <v>0.87</v>
      </c>
      <c r="K15" s="150">
        <v>0.39</v>
      </c>
      <c r="L15" s="150">
        <v>0.98</v>
      </c>
      <c r="M15" s="150">
        <v>0.63</v>
      </c>
      <c r="N15" s="150">
        <v>0.97</v>
      </c>
      <c r="O15" s="150">
        <v>0.97</v>
      </c>
      <c r="P15" s="151">
        <v>0.53</v>
      </c>
      <c r="Q15" s="150">
        <v>0.35</v>
      </c>
      <c r="R15" s="150">
        <v>0.32</v>
      </c>
      <c r="S15" s="150">
        <v>0.15</v>
      </c>
      <c r="T15" s="21"/>
    </row>
    <row r="16" spans="1:20" s="23" customFormat="1" ht="16.5">
      <c r="A16" s="38">
        <v>27</v>
      </c>
      <c r="B16" s="39" t="s">
        <v>238</v>
      </c>
      <c r="C16" s="40">
        <v>5</v>
      </c>
      <c r="D16" s="41" t="s">
        <v>250</v>
      </c>
      <c r="E16" s="42">
        <v>4204</v>
      </c>
      <c r="F16" s="41" t="s">
        <v>240</v>
      </c>
      <c r="G16" s="150">
        <v>0.2</v>
      </c>
      <c r="H16" s="150">
        <v>0.52</v>
      </c>
      <c r="I16" s="150">
        <v>0.68</v>
      </c>
      <c r="J16" s="150">
        <v>0.87</v>
      </c>
      <c r="K16" s="150">
        <v>0.31</v>
      </c>
      <c r="L16" s="150">
        <v>0.98</v>
      </c>
      <c r="M16" s="150">
        <v>0.51</v>
      </c>
      <c r="N16" s="150">
        <v>0.75</v>
      </c>
      <c r="O16" s="150">
        <v>0.97</v>
      </c>
      <c r="P16" s="151">
        <v>0.32</v>
      </c>
      <c r="Q16" s="150">
        <v>0.22</v>
      </c>
      <c r="R16" s="150">
        <v>0.22</v>
      </c>
      <c r="S16" s="150">
        <v>0.15</v>
      </c>
      <c r="T16" s="21"/>
    </row>
    <row r="17" spans="1:20" s="23" customFormat="1" ht="16.5">
      <c r="A17" s="38">
        <v>28</v>
      </c>
      <c r="B17" s="43" t="s">
        <v>238</v>
      </c>
      <c r="C17" s="40">
        <v>5</v>
      </c>
      <c r="D17" s="44" t="s">
        <v>251</v>
      </c>
      <c r="E17" s="42">
        <v>4106</v>
      </c>
      <c r="F17" s="44" t="s">
        <v>240</v>
      </c>
      <c r="G17" s="150">
        <v>0.21</v>
      </c>
      <c r="H17" s="150">
        <v>0.34</v>
      </c>
      <c r="I17" s="153">
        <v>0.65</v>
      </c>
      <c r="J17" s="150">
        <v>0.87</v>
      </c>
      <c r="K17" s="150">
        <v>0.21</v>
      </c>
      <c r="L17" s="150">
        <v>0.98</v>
      </c>
      <c r="M17" s="150">
        <v>0.55</v>
      </c>
      <c r="N17" s="150">
        <v>0.66</v>
      </c>
      <c r="O17" s="150">
        <v>0.97</v>
      </c>
      <c r="P17" s="151">
        <v>0.46</v>
      </c>
      <c r="Q17" s="150">
        <v>0.22</v>
      </c>
      <c r="R17" s="150">
        <v>0.23</v>
      </c>
      <c r="S17" s="150">
        <v>0.15</v>
      </c>
      <c r="T17" s="21"/>
    </row>
    <row r="21" spans="1:18" ht="18">
      <c r="A21" s="298" t="s">
        <v>286</v>
      </c>
      <c r="B21" s="298"/>
      <c r="C21" s="298"/>
      <c r="D21" s="298"/>
      <c r="E21" s="298"/>
      <c r="F21" s="298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1"/>
      <c r="R21" s="22"/>
    </row>
    <row r="22" spans="1:19" ht="16.5">
      <c r="A22" s="24"/>
      <c r="B22" s="24"/>
      <c r="C22" s="24"/>
      <c r="D22" s="24"/>
      <c r="E22" s="292" t="s">
        <v>230</v>
      </c>
      <c r="F22" s="295" t="s">
        <v>231</v>
      </c>
      <c r="G22" s="302" t="s">
        <v>232</v>
      </c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</row>
    <row r="23" spans="1:19" ht="16.5">
      <c r="A23" s="27"/>
      <c r="B23" s="28"/>
      <c r="C23" s="27"/>
      <c r="D23" s="27"/>
      <c r="E23" s="293"/>
      <c r="F23" s="296"/>
      <c r="G23" s="29" t="s">
        <v>276</v>
      </c>
      <c r="H23" s="30" t="s">
        <v>277</v>
      </c>
      <c r="I23" s="30" t="s">
        <v>278</v>
      </c>
      <c r="J23" s="30" t="s">
        <v>279</v>
      </c>
      <c r="K23" s="30" t="s">
        <v>280</v>
      </c>
      <c r="L23" s="30" t="s">
        <v>281</v>
      </c>
      <c r="M23" s="30" t="s">
        <v>282</v>
      </c>
      <c r="N23" s="30" t="s">
        <v>283</v>
      </c>
      <c r="O23" s="30" t="s">
        <v>284</v>
      </c>
      <c r="P23" s="30" t="s">
        <v>285</v>
      </c>
      <c r="Q23" s="30" t="s">
        <v>263</v>
      </c>
      <c r="R23" s="30" t="s">
        <v>264</v>
      </c>
      <c r="S23" s="30" t="s">
        <v>296</v>
      </c>
    </row>
    <row r="24" spans="1:19" ht="127.5">
      <c r="A24" s="27" t="s">
        <v>233</v>
      </c>
      <c r="B24" s="28" t="s">
        <v>234</v>
      </c>
      <c r="C24" s="27" t="s">
        <v>233</v>
      </c>
      <c r="D24" s="27" t="s">
        <v>0</v>
      </c>
      <c r="E24" s="293"/>
      <c r="F24" s="296"/>
      <c r="G24" s="31" t="s">
        <v>235</v>
      </c>
      <c r="H24" s="31" t="s">
        <v>267</v>
      </c>
      <c r="I24" s="31" t="s">
        <v>268</v>
      </c>
      <c r="J24" s="31" t="s">
        <v>269</v>
      </c>
      <c r="K24" s="31" t="s">
        <v>270</v>
      </c>
      <c r="L24" s="31" t="s">
        <v>271</v>
      </c>
      <c r="M24" s="31" t="s">
        <v>236</v>
      </c>
      <c r="N24" s="31" t="s">
        <v>237</v>
      </c>
      <c r="O24" s="31" t="s">
        <v>272</v>
      </c>
      <c r="P24" s="47" t="s">
        <v>273</v>
      </c>
      <c r="Q24" s="47" t="s">
        <v>265</v>
      </c>
      <c r="R24" s="47" t="s">
        <v>266</v>
      </c>
      <c r="S24" s="47" t="s">
        <v>309</v>
      </c>
    </row>
    <row r="25" spans="1:19" ht="16.5">
      <c r="A25" s="34"/>
      <c r="B25" s="35"/>
      <c r="C25" s="34"/>
      <c r="D25" s="34"/>
      <c r="E25" s="294"/>
      <c r="F25" s="297"/>
      <c r="G25" s="36">
        <v>0.1</v>
      </c>
      <c r="H25" s="36">
        <v>0.1</v>
      </c>
      <c r="I25" s="36">
        <v>0.1</v>
      </c>
      <c r="J25" s="37">
        <v>1</v>
      </c>
      <c r="K25" s="36">
        <v>0.1</v>
      </c>
      <c r="L25" s="37">
        <v>1</v>
      </c>
      <c r="M25" s="37">
        <v>1</v>
      </c>
      <c r="N25" s="37">
        <v>1</v>
      </c>
      <c r="O25" s="36">
        <v>0.1</v>
      </c>
      <c r="P25" s="36">
        <v>0.1</v>
      </c>
      <c r="Q25" s="37">
        <v>1</v>
      </c>
      <c r="R25" s="37">
        <v>1</v>
      </c>
      <c r="S25" s="154">
        <v>0.1</v>
      </c>
    </row>
    <row r="26" spans="1:19" ht="16.5">
      <c r="A26" s="38">
        <v>17</v>
      </c>
      <c r="B26" s="39" t="s">
        <v>238</v>
      </c>
      <c r="C26" s="40">
        <v>5</v>
      </c>
      <c r="D26" s="41" t="s">
        <v>239</v>
      </c>
      <c r="E26" s="42">
        <v>4202</v>
      </c>
      <c r="F26" s="41" t="s">
        <v>240</v>
      </c>
      <c r="G26" s="48">
        <f>+G6*$G$25</f>
        <v>0.021</v>
      </c>
      <c r="H26" s="48">
        <f>+H6*$H$25</f>
        <v>0.034</v>
      </c>
      <c r="I26" s="48">
        <f>+I6*$I$25</f>
        <v>0.06999999999999999</v>
      </c>
      <c r="J26" s="48">
        <f>+J6*$J$25</f>
        <v>0.82</v>
      </c>
      <c r="K26" s="48">
        <f>+K6*$K$25</f>
        <v>0.04000000000000001</v>
      </c>
      <c r="L26" s="48">
        <f>+L6*$L$25</f>
        <v>0.98</v>
      </c>
      <c r="M26" s="48">
        <f>+M6*$M$25</f>
        <v>0.42</v>
      </c>
      <c r="N26" s="48">
        <f>+N6*$N$25</f>
        <v>0.7</v>
      </c>
      <c r="O26" s="48">
        <f>+O6*$O$25</f>
        <v>0.094</v>
      </c>
      <c r="P26" s="60">
        <f>+P6*$P$25</f>
        <v>0.034999999999999996</v>
      </c>
      <c r="Q26" s="48">
        <f>+Q6*$Q$25</f>
        <v>0.22</v>
      </c>
      <c r="R26" s="48">
        <f>+R6*$R$25</f>
        <v>0.15</v>
      </c>
      <c r="S26" s="48">
        <f aca="true" t="shared" si="0" ref="S26:S37">+S6*$S$25</f>
        <v>0.015</v>
      </c>
    </row>
    <row r="27" spans="1:19" ht="16.5">
      <c r="A27" s="38">
        <v>18</v>
      </c>
      <c r="B27" s="39" t="s">
        <v>238</v>
      </c>
      <c r="C27" s="40">
        <v>5</v>
      </c>
      <c r="D27" s="41" t="s">
        <v>241</v>
      </c>
      <c r="E27" s="42">
        <v>4302</v>
      </c>
      <c r="F27" s="41" t="s">
        <v>240</v>
      </c>
      <c r="G27" s="48">
        <f aca="true" t="shared" si="1" ref="G27:G37">+G7*$G$25</f>
        <v>0.020000000000000004</v>
      </c>
      <c r="H27" s="48">
        <f aca="true" t="shared" si="2" ref="H27:H37">+H7*$H$25</f>
        <v>0.038000000000000006</v>
      </c>
      <c r="I27" s="48">
        <f aca="true" t="shared" si="3" ref="I27:I37">+I7*$I$25</f>
        <v>0.06899999999999999</v>
      </c>
      <c r="J27" s="48">
        <f aca="true" t="shared" si="4" ref="J27:J37">+J7*$J$25</f>
        <v>0.82</v>
      </c>
      <c r="K27" s="48">
        <f aca="true" t="shared" si="5" ref="K27:K37">+K7*$K$25</f>
        <v>0.026000000000000002</v>
      </c>
      <c r="L27" s="48">
        <f aca="true" t="shared" si="6" ref="L27:L37">+L7*$L$25</f>
        <v>0.98</v>
      </c>
      <c r="M27" s="48">
        <f aca="true" t="shared" si="7" ref="M27:M37">+M7*$M$25</f>
        <v>0.42</v>
      </c>
      <c r="N27" s="48">
        <f aca="true" t="shared" si="8" ref="N27:N37">+N7*$N$25</f>
        <v>0.78</v>
      </c>
      <c r="O27" s="48">
        <f aca="true" t="shared" si="9" ref="O27:O37">+O7*$O$25</f>
        <v>0.097</v>
      </c>
      <c r="P27" s="60">
        <f aca="true" t="shared" si="10" ref="P27:P37">+P7*$P$25</f>
        <v>0.05600000000000001</v>
      </c>
      <c r="Q27" s="48">
        <f aca="true" t="shared" si="11" ref="Q27:Q37">+Q7*$Q$25</f>
        <v>0.22</v>
      </c>
      <c r="R27" s="48">
        <f aca="true" t="shared" si="12" ref="R27:R37">+R7*$R$25</f>
        <v>0.17</v>
      </c>
      <c r="S27" s="48">
        <f t="shared" si="0"/>
        <v>0.015</v>
      </c>
    </row>
    <row r="28" spans="1:19" ht="16.5">
      <c r="A28" s="38">
        <v>19</v>
      </c>
      <c r="B28" s="39" t="s">
        <v>238</v>
      </c>
      <c r="C28" s="40">
        <v>5</v>
      </c>
      <c r="D28" s="41" t="s">
        <v>238</v>
      </c>
      <c r="E28" s="42">
        <v>4102</v>
      </c>
      <c r="F28" s="41" t="s">
        <v>242</v>
      </c>
      <c r="G28" s="48">
        <f t="shared" si="1"/>
        <v>0.018</v>
      </c>
      <c r="H28" s="48">
        <f t="shared" si="2"/>
        <v>0.027000000000000003</v>
      </c>
      <c r="I28" s="48">
        <f t="shared" si="3"/>
        <v>0.046000000000000006</v>
      </c>
      <c r="J28" s="48">
        <f t="shared" si="4"/>
        <v>0.87</v>
      </c>
      <c r="K28" s="48">
        <f t="shared" si="5"/>
        <v>0.021</v>
      </c>
      <c r="L28" s="48">
        <f t="shared" si="6"/>
        <v>0.98</v>
      </c>
      <c r="M28" s="48">
        <f t="shared" si="7"/>
        <v>0.55</v>
      </c>
      <c r="N28" s="48">
        <f t="shared" si="8"/>
        <v>0.6</v>
      </c>
      <c r="O28" s="48">
        <f t="shared" si="9"/>
        <v>0.097</v>
      </c>
      <c r="P28" s="60">
        <f t="shared" si="10"/>
        <v>0.032</v>
      </c>
      <c r="Q28" s="48">
        <f t="shared" si="11"/>
        <v>0.22</v>
      </c>
      <c r="R28" s="48">
        <f t="shared" si="12"/>
        <v>0.17</v>
      </c>
      <c r="S28" s="48">
        <f t="shared" si="0"/>
        <v>0.013000000000000001</v>
      </c>
    </row>
    <row r="29" spans="1:19" ht="16.5">
      <c r="A29" s="38">
        <v>20</v>
      </c>
      <c r="B29" s="39" t="s">
        <v>238</v>
      </c>
      <c r="C29" s="40">
        <v>5</v>
      </c>
      <c r="D29" s="41" t="s">
        <v>243</v>
      </c>
      <c r="E29" s="42">
        <v>4201</v>
      </c>
      <c r="F29" s="41" t="s">
        <v>240</v>
      </c>
      <c r="G29" s="48">
        <f t="shared" si="1"/>
        <v>0.025</v>
      </c>
      <c r="H29" s="48">
        <f t="shared" si="2"/>
        <v>0.041</v>
      </c>
      <c r="I29" s="48">
        <f t="shared" si="3"/>
        <v>0.05500000000000001</v>
      </c>
      <c r="J29" s="48">
        <f t="shared" si="4"/>
        <v>0.9</v>
      </c>
      <c r="K29" s="48">
        <f t="shared" si="5"/>
        <v>0.036</v>
      </c>
      <c r="L29" s="48">
        <f t="shared" si="6"/>
        <v>0.98</v>
      </c>
      <c r="M29" s="48">
        <f t="shared" si="7"/>
        <v>0.43</v>
      </c>
      <c r="N29" s="48">
        <f t="shared" si="8"/>
        <v>0.72</v>
      </c>
      <c r="O29" s="48">
        <f t="shared" si="9"/>
        <v>0.097</v>
      </c>
      <c r="P29" s="60">
        <f t="shared" si="10"/>
        <v>0.043000000000000003</v>
      </c>
      <c r="Q29" s="48">
        <f t="shared" si="11"/>
        <v>0.22</v>
      </c>
      <c r="R29" s="48">
        <f t="shared" si="12"/>
        <v>0.17</v>
      </c>
      <c r="S29" s="48">
        <f t="shared" si="0"/>
        <v>0.015</v>
      </c>
    </row>
    <row r="30" spans="1:19" ht="16.5">
      <c r="A30" s="38">
        <v>21</v>
      </c>
      <c r="B30" s="39" t="s">
        <v>238</v>
      </c>
      <c r="C30" s="40">
        <v>5</v>
      </c>
      <c r="D30" s="41" t="s">
        <v>244</v>
      </c>
      <c r="E30" s="42">
        <v>4101</v>
      </c>
      <c r="F30" s="41" t="s">
        <v>242</v>
      </c>
      <c r="G30" s="48">
        <f t="shared" si="1"/>
        <v>0.020000000000000004</v>
      </c>
      <c r="H30" s="48">
        <f t="shared" si="2"/>
        <v>0.025</v>
      </c>
      <c r="I30" s="48">
        <f t="shared" si="3"/>
        <v>0.047</v>
      </c>
      <c r="J30" s="48">
        <f t="shared" si="4"/>
        <v>0.89</v>
      </c>
      <c r="K30" s="48">
        <f t="shared" si="5"/>
        <v>0.021</v>
      </c>
      <c r="L30" s="48">
        <f t="shared" si="6"/>
        <v>0.98</v>
      </c>
      <c r="M30" s="48">
        <f t="shared" si="7"/>
        <v>0.5</v>
      </c>
      <c r="N30" s="48">
        <f t="shared" si="8"/>
        <v>0.63</v>
      </c>
      <c r="O30" s="48">
        <f t="shared" si="9"/>
        <v>0.095</v>
      </c>
      <c r="P30" s="60">
        <f>+P10*$P$25</f>
        <v>0.025</v>
      </c>
      <c r="Q30" s="48">
        <f t="shared" si="11"/>
        <v>0.22</v>
      </c>
      <c r="R30" s="48">
        <f t="shared" si="12"/>
        <v>0.17</v>
      </c>
      <c r="S30" s="48">
        <f t="shared" si="0"/>
        <v>0.013000000000000001</v>
      </c>
    </row>
    <row r="31" spans="1:19" ht="16.5">
      <c r="A31" s="38">
        <v>22</v>
      </c>
      <c r="B31" s="39" t="s">
        <v>238</v>
      </c>
      <c r="C31" s="40">
        <v>5</v>
      </c>
      <c r="D31" s="41" t="s">
        <v>245</v>
      </c>
      <c r="E31" s="42">
        <v>4203</v>
      </c>
      <c r="F31" s="41" t="s">
        <v>240</v>
      </c>
      <c r="G31" s="48">
        <f t="shared" si="1"/>
        <v>0.018</v>
      </c>
      <c r="H31" s="48">
        <f t="shared" si="2"/>
        <v>0.028000000000000004</v>
      </c>
      <c r="I31" s="48">
        <f t="shared" si="3"/>
        <v>0.062</v>
      </c>
      <c r="J31" s="48">
        <f t="shared" si="4"/>
        <v>0.82</v>
      </c>
      <c r="K31" s="48">
        <f t="shared" si="5"/>
        <v>0.024</v>
      </c>
      <c r="L31" s="48">
        <f t="shared" si="6"/>
        <v>0.98</v>
      </c>
      <c r="M31" s="48">
        <f t="shared" si="7"/>
        <v>0.43</v>
      </c>
      <c r="N31" s="48">
        <f t="shared" si="8"/>
        <v>0.75</v>
      </c>
      <c r="O31" s="48">
        <f t="shared" si="9"/>
        <v>0.097</v>
      </c>
      <c r="P31" s="60">
        <f t="shared" si="10"/>
        <v>0.048</v>
      </c>
      <c r="Q31" s="48">
        <f t="shared" si="11"/>
        <v>0.22</v>
      </c>
      <c r="R31" s="48">
        <f t="shared" si="12"/>
        <v>0.19</v>
      </c>
      <c r="S31" s="48">
        <f t="shared" si="0"/>
        <v>0.015</v>
      </c>
    </row>
    <row r="32" spans="1:19" ht="16.5">
      <c r="A32" s="38">
        <v>23</v>
      </c>
      <c r="B32" s="39" t="s">
        <v>238</v>
      </c>
      <c r="C32" s="40">
        <v>5</v>
      </c>
      <c r="D32" s="41" t="s">
        <v>246</v>
      </c>
      <c r="E32" s="42">
        <v>4303</v>
      </c>
      <c r="F32" s="41" t="s">
        <v>240</v>
      </c>
      <c r="G32" s="48">
        <f t="shared" si="1"/>
        <v>0.018</v>
      </c>
      <c r="H32" s="48">
        <f t="shared" si="2"/>
        <v>0.026000000000000002</v>
      </c>
      <c r="I32" s="48">
        <f t="shared" si="3"/>
        <v>0.066</v>
      </c>
      <c r="J32" s="48">
        <f t="shared" si="4"/>
        <v>0.87</v>
      </c>
      <c r="K32" s="48">
        <f t="shared" si="5"/>
        <v>0.021</v>
      </c>
      <c r="L32" s="48">
        <f t="shared" si="6"/>
        <v>0.98</v>
      </c>
      <c r="M32" s="48">
        <f t="shared" si="7"/>
        <v>0.45</v>
      </c>
      <c r="N32" s="48">
        <f t="shared" si="8"/>
        <v>0.66</v>
      </c>
      <c r="O32" s="48">
        <f t="shared" si="9"/>
        <v>0.094</v>
      </c>
      <c r="P32" s="60">
        <f t="shared" si="10"/>
        <v>0.028999999999999998</v>
      </c>
      <c r="Q32" s="48">
        <f t="shared" si="11"/>
        <v>0.22</v>
      </c>
      <c r="R32" s="48">
        <f t="shared" si="12"/>
        <v>0.17</v>
      </c>
      <c r="S32" s="48">
        <f t="shared" si="0"/>
        <v>0.015</v>
      </c>
    </row>
    <row r="33" spans="1:19" ht="16.5">
      <c r="A33" s="38">
        <v>24</v>
      </c>
      <c r="B33" s="39" t="s">
        <v>238</v>
      </c>
      <c r="C33" s="40">
        <v>5</v>
      </c>
      <c r="D33" s="41" t="s">
        <v>247</v>
      </c>
      <c r="E33" s="42">
        <v>4301</v>
      </c>
      <c r="F33" s="41" t="s">
        <v>240</v>
      </c>
      <c r="G33" s="48">
        <f t="shared" si="1"/>
        <v>0.020000000000000004</v>
      </c>
      <c r="H33" s="48">
        <f t="shared" si="2"/>
        <v>0.027000000000000003</v>
      </c>
      <c r="I33" s="48">
        <f t="shared" si="3"/>
        <v>0.05500000000000001</v>
      </c>
      <c r="J33" s="48">
        <f t="shared" si="4"/>
        <v>0.87</v>
      </c>
      <c r="K33" s="48">
        <f t="shared" si="5"/>
        <v>0.023000000000000003</v>
      </c>
      <c r="L33" s="48">
        <f t="shared" si="6"/>
        <v>0.98</v>
      </c>
      <c r="M33" s="48">
        <f t="shared" si="7"/>
        <v>0.55</v>
      </c>
      <c r="N33" s="48">
        <f t="shared" si="8"/>
        <v>0.7</v>
      </c>
      <c r="O33" s="48">
        <f t="shared" si="9"/>
        <v>0.097</v>
      </c>
      <c r="P33" s="60">
        <f t="shared" si="10"/>
        <v>0.025</v>
      </c>
      <c r="Q33" s="48">
        <f t="shared" si="11"/>
        <v>0.22</v>
      </c>
      <c r="R33" s="48">
        <f t="shared" si="12"/>
        <v>0.17</v>
      </c>
      <c r="S33" s="48">
        <f t="shared" si="0"/>
        <v>0.013000000000000001</v>
      </c>
    </row>
    <row r="34" spans="1:19" ht="16.5">
      <c r="A34" s="38">
        <v>25</v>
      </c>
      <c r="B34" s="39" t="s">
        <v>238</v>
      </c>
      <c r="C34" s="40">
        <v>5</v>
      </c>
      <c r="D34" s="41" t="s">
        <v>248</v>
      </c>
      <c r="E34" s="42">
        <v>4304</v>
      </c>
      <c r="F34" s="41" t="s">
        <v>240</v>
      </c>
      <c r="G34" s="48">
        <f t="shared" si="1"/>
        <v>0.018</v>
      </c>
      <c r="H34" s="48">
        <f t="shared" si="2"/>
        <v>0.032</v>
      </c>
      <c r="I34" s="48">
        <f t="shared" si="3"/>
        <v>0.05500000000000001</v>
      </c>
      <c r="J34" s="48">
        <f t="shared" si="4"/>
        <v>0.9</v>
      </c>
      <c r="K34" s="48">
        <f t="shared" si="5"/>
        <v>0.024</v>
      </c>
      <c r="L34" s="48">
        <f t="shared" si="6"/>
        <v>0.98</v>
      </c>
      <c r="M34" s="48">
        <f t="shared" si="7"/>
        <v>0.57</v>
      </c>
      <c r="N34" s="48">
        <f t="shared" si="8"/>
        <v>0.8</v>
      </c>
      <c r="O34" s="48">
        <f t="shared" si="9"/>
        <v>0.094</v>
      </c>
      <c r="P34" s="60">
        <f t="shared" si="10"/>
        <v>0.025</v>
      </c>
      <c r="Q34" s="48">
        <f t="shared" si="11"/>
        <v>0.22</v>
      </c>
      <c r="R34" s="48">
        <f t="shared" si="12"/>
        <v>0.17</v>
      </c>
      <c r="S34" s="48">
        <f t="shared" si="0"/>
        <v>0.013000000000000001</v>
      </c>
    </row>
    <row r="35" spans="1:19" ht="16.5">
      <c r="A35" s="38">
        <v>26</v>
      </c>
      <c r="B35" s="39" t="s">
        <v>238</v>
      </c>
      <c r="C35" s="40">
        <v>5</v>
      </c>
      <c r="D35" s="41" t="s">
        <v>249</v>
      </c>
      <c r="E35" s="42">
        <v>4305</v>
      </c>
      <c r="F35" s="41" t="s">
        <v>240</v>
      </c>
      <c r="G35" s="48">
        <f t="shared" si="1"/>
        <v>0.020000000000000004</v>
      </c>
      <c r="H35" s="48">
        <f t="shared" si="2"/>
        <v>0.068</v>
      </c>
      <c r="I35" s="48">
        <f t="shared" si="3"/>
        <v>0.064</v>
      </c>
      <c r="J35" s="48">
        <f t="shared" si="4"/>
        <v>0.87</v>
      </c>
      <c r="K35" s="48">
        <f t="shared" si="5"/>
        <v>0.03900000000000001</v>
      </c>
      <c r="L35" s="48">
        <f t="shared" si="6"/>
        <v>0.98</v>
      </c>
      <c r="M35" s="48">
        <f t="shared" si="7"/>
        <v>0.63</v>
      </c>
      <c r="N35" s="48">
        <f t="shared" si="8"/>
        <v>0.97</v>
      </c>
      <c r="O35" s="48">
        <f t="shared" si="9"/>
        <v>0.097</v>
      </c>
      <c r="P35" s="60">
        <f t="shared" si="10"/>
        <v>0.053000000000000005</v>
      </c>
      <c r="Q35" s="48">
        <f t="shared" si="11"/>
        <v>0.35</v>
      </c>
      <c r="R35" s="48">
        <f t="shared" si="12"/>
        <v>0.32</v>
      </c>
      <c r="S35" s="48">
        <f t="shared" si="0"/>
        <v>0.015</v>
      </c>
    </row>
    <row r="36" spans="1:19" ht="16.5">
      <c r="A36" s="38">
        <v>27</v>
      </c>
      <c r="B36" s="39" t="s">
        <v>238</v>
      </c>
      <c r="C36" s="40">
        <v>5</v>
      </c>
      <c r="D36" s="41" t="s">
        <v>250</v>
      </c>
      <c r="E36" s="42">
        <v>4204</v>
      </c>
      <c r="F36" s="41" t="s">
        <v>240</v>
      </c>
      <c r="G36" s="48">
        <f t="shared" si="1"/>
        <v>0.020000000000000004</v>
      </c>
      <c r="H36" s="48">
        <f t="shared" si="2"/>
        <v>0.052000000000000005</v>
      </c>
      <c r="I36" s="48">
        <f t="shared" si="3"/>
        <v>0.068</v>
      </c>
      <c r="J36" s="48">
        <f t="shared" si="4"/>
        <v>0.87</v>
      </c>
      <c r="K36" s="48">
        <f t="shared" si="5"/>
        <v>0.031</v>
      </c>
      <c r="L36" s="48">
        <f t="shared" si="6"/>
        <v>0.98</v>
      </c>
      <c r="M36" s="48">
        <f t="shared" si="7"/>
        <v>0.51</v>
      </c>
      <c r="N36" s="48">
        <f t="shared" si="8"/>
        <v>0.75</v>
      </c>
      <c r="O36" s="48">
        <f t="shared" si="9"/>
        <v>0.097</v>
      </c>
      <c r="P36" s="60">
        <f t="shared" si="10"/>
        <v>0.032</v>
      </c>
      <c r="Q36" s="48">
        <f t="shared" si="11"/>
        <v>0.22</v>
      </c>
      <c r="R36" s="48">
        <f t="shared" si="12"/>
        <v>0.22</v>
      </c>
      <c r="S36" s="48">
        <f t="shared" si="0"/>
        <v>0.015</v>
      </c>
    </row>
    <row r="37" spans="1:19" ht="16.5">
      <c r="A37" s="38">
        <v>28</v>
      </c>
      <c r="B37" s="43" t="s">
        <v>238</v>
      </c>
      <c r="C37" s="40">
        <v>5</v>
      </c>
      <c r="D37" s="44" t="s">
        <v>251</v>
      </c>
      <c r="E37" s="42">
        <v>4106</v>
      </c>
      <c r="F37" s="44" t="s">
        <v>240</v>
      </c>
      <c r="G37" s="48">
        <f t="shared" si="1"/>
        <v>0.021</v>
      </c>
      <c r="H37" s="48">
        <f t="shared" si="2"/>
        <v>0.034</v>
      </c>
      <c r="I37" s="48">
        <f t="shared" si="3"/>
        <v>0.065</v>
      </c>
      <c r="J37" s="48">
        <f t="shared" si="4"/>
        <v>0.87</v>
      </c>
      <c r="K37" s="48">
        <f t="shared" si="5"/>
        <v>0.021</v>
      </c>
      <c r="L37" s="48">
        <f t="shared" si="6"/>
        <v>0.98</v>
      </c>
      <c r="M37" s="48">
        <f t="shared" si="7"/>
        <v>0.55</v>
      </c>
      <c r="N37" s="48">
        <f t="shared" si="8"/>
        <v>0.66</v>
      </c>
      <c r="O37" s="48">
        <f t="shared" si="9"/>
        <v>0.097</v>
      </c>
      <c r="P37" s="60">
        <f t="shared" si="10"/>
        <v>0.046000000000000006</v>
      </c>
      <c r="Q37" s="48">
        <f t="shared" si="11"/>
        <v>0.22</v>
      </c>
      <c r="R37" s="48">
        <f t="shared" si="12"/>
        <v>0.23</v>
      </c>
      <c r="S37" s="48">
        <f t="shared" si="0"/>
        <v>0.015</v>
      </c>
    </row>
    <row r="41" spans="1:18" ht="18">
      <c r="A41" s="298" t="s">
        <v>288</v>
      </c>
      <c r="B41" s="298"/>
      <c r="C41" s="298"/>
      <c r="D41" s="298"/>
      <c r="E41" s="298"/>
      <c r="F41" s="298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1"/>
      <c r="R41" s="22"/>
    </row>
    <row r="42" spans="1:19" ht="16.5">
      <c r="A42" s="24"/>
      <c r="B42" s="24"/>
      <c r="C42" s="24"/>
      <c r="D42" s="24"/>
      <c r="E42" s="292" t="s">
        <v>230</v>
      </c>
      <c r="F42" s="295" t="s">
        <v>231</v>
      </c>
      <c r="G42" s="302" t="s">
        <v>232</v>
      </c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</row>
    <row r="43" spans="1:19" ht="16.5">
      <c r="A43" s="27"/>
      <c r="B43" s="28"/>
      <c r="C43" s="27"/>
      <c r="D43" s="27"/>
      <c r="E43" s="293"/>
      <c r="F43" s="296"/>
      <c r="G43" s="29" t="s">
        <v>276</v>
      </c>
      <c r="H43" s="30" t="s">
        <v>277</v>
      </c>
      <c r="I43" s="30" t="s">
        <v>278</v>
      </c>
      <c r="J43" s="30" t="s">
        <v>279</v>
      </c>
      <c r="K43" s="30" t="s">
        <v>280</v>
      </c>
      <c r="L43" s="30" t="s">
        <v>281</v>
      </c>
      <c r="M43" s="30" t="s">
        <v>282</v>
      </c>
      <c r="N43" s="30" t="s">
        <v>283</v>
      </c>
      <c r="O43" s="30" t="s">
        <v>284</v>
      </c>
      <c r="P43" s="30" t="s">
        <v>285</v>
      </c>
      <c r="Q43" s="30" t="s">
        <v>263</v>
      </c>
      <c r="R43" s="30" t="s">
        <v>264</v>
      </c>
      <c r="S43" s="30" t="s">
        <v>296</v>
      </c>
    </row>
    <row r="44" spans="1:19" ht="127.5">
      <c r="A44" s="27" t="s">
        <v>233</v>
      </c>
      <c r="B44" s="28" t="s">
        <v>234</v>
      </c>
      <c r="C44" s="27" t="s">
        <v>233</v>
      </c>
      <c r="D44" s="27" t="s">
        <v>0</v>
      </c>
      <c r="E44" s="293"/>
      <c r="F44" s="296"/>
      <c r="G44" s="31" t="s">
        <v>235</v>
      </c>
      <c r="H44" s="31" t="s">
        <v>267</v>
      </c>
      <c r="I44" s="31" t="s">
        <v>268</v>
      </c>
      <c r="J44" s="31" t="s">
        <v>269</v>
      </c>
      <c r="K44" s="31" t="s">
        <v>270</v>
      </c>
      <c r="L44" s="31" t="s">
        <v>271</v>
      </c>
      <c r="M44" s="31" t="s">
        <v>236</v>
      </c>
      <c r="N44" s="31" t="s">
        <v>237</v>
      </c>
      <c r="O44" s="31" t="s">
        <v>272</v>
      </c>
      <c r="P44" s="47" t="s">
        <v>273</v>
      </c>
      <c r="Q44" s="47" t="s">
        <v>265</v>
      </c>
      <c r="R44" s="47" t="s">
        <v>266</v>
      </c>
      <c r="S44" s="47" t="s">
        <v>309</v>
      </c>
    </row>
    <row r="45" spans="1:19" ht="16.5">
      <c r="A45" s="34"/>
      <c r="B45" s="35"/>
      <c r="C45" s="34"/>
      <c r="D45" s="34"/>
      <c r="E45" s="294"/>
      <c r="F45" s="297"/>
      <c r="G45" s="36">
        <v>0.45</v>
      </c>
      <c r="H45" s="36">
        <v>0.45</v>
      </c>
      <c r="I45" s="36">
        <v>0.45</v>
      </c>
      <c r="J45" s="37">
        <v>1</v>
      </c>
      <c r="K45" s="36">
        <v>0.45</v>
      </c>
      <c r="L45" s="37">
        <v>1</v>
      </c>
      <c r="M45" s="37">
        <v>1</v>
      </c>
      <c r="N45" s="37">
        <v>1</v>
      </c>
      <c r="O45" s="36">
        <v>0.45</v>
      </c>
      <c r="P45" s="36">
        <v>0.45</v>
      </c>
      <c r="Q45" s="37">
        <v>1</v>
      </c>
      <c r="R45" s="37">
        <v>1</v>
      </c>
      <c r="S45" s="154">
        <v>0.45</v>
      </c>
    </row>
    <row r="46" spans="1:19" ht="16.5">
      <c r="A46" s="38">
        <v>17</v>
      </c>
      <c r="B46" s="39" t="s">
        <v>238</v>
      </c>
      <c r="C46" s="40">
        <v>5</v>
      </c>
      <c r="D46" s="41" t="s">
        <v>239</v>
      </c>
      <c r="E46" s="42">
        <v>4202</v>
      </c>
      <c r="F46" s="41" t="s">
        <v>240</v>
      </c>
      <c r="G46" s="48">
        <f>+G6*$G$45</f>
        <v>0.0945</v>
      </c>
      <c r="H46" s="48">
        <f>+H6*$H$45</f>
        <v>0.15300000000000002</v>
      </c>
      <c r="I46" s="48">
        <f>+I6*$I$45</f>
        <v>0.315</v>
      </c>
      <c r="J46" s="48">
        <f>+J6*$J$45</f>
        <v>0.82</v>
      </c>
      <c r="K46" s="48">
        <f>+K6*$K$45</f>
        <v>0.18000000000000002</v>
      </c>
      <c r="L46" s="48">
        <f>+L6*$L$45</f>
        <v>0.98</v>
      </c>
      <c r="M46" s="48">
        <f>+M6*$M$45</f>
        <v>0.42</v>
      </c>
      <c r="N46" s="48">
        <f>+N6*$N$45</f>
        <v>0.7</v>
      </c>
      <c r="O46" s="48">
        <f>+O6*$O$45</f>
        <v>0.423</v>
      </c>
      <c r="P46" s="60">
        <f>+P6*$P$45</f>
        <v>0.1575</v>
      </c>
      <c r="Q46" s="48">
        <f>+Q6*$Q$45</f>
        <v>0.22</v>
      </c>
      <c r="R46" s="48">
        <f>+R6*$R$45</f>
        <v>0.15</v>
      </c>
      <c r="S46" s="150">
        <v>0.15</v>
      </c>
    </row>
    <row r="47" spans="1:19" ht="16.5">
      <c r="A47" s="38">
        <v>18</v>
      </c>
      <c r="B47" s="39" t="s">
        <v>238</v>
      </c>
      <c r="C47" s="40">
        <v>5</v>
      </c>
      <c r="D47" s="41" t="s">
        <v>241</v>
      </c>
      <c r="E47" s="42">
        <v>4302</v>
      </c>
      <c r="F47" s="41" t="s">
        <v>240</v>
      </c>
      <c r="G47" s="48">
        <f aca="true" t="shared" si="13" ref="G47:G57">+G7*$G$45</f>
        <v>0.09000000000000001</v>
      </c>
      <c r="H47" s="48">
        <f aca="true" t="shared" si="14" ref="H47:H57">+H7*$H$45</f>
        <v>0.171</v>
      </c>
      <c r="I47" s="48">
        <f aca="true" t="shared" si="15" ref="I47:I57">+I7*$I$45</f>
        <v>0.3105</v>
      </c>
      <c r="J47" s="48">
        <f aca="true" t="shared" si="16" ref="J47:J57">+J7*$J$45</f>
        <v>0.82</v>
      </c>
      <c r="K47" s="48">
        <f aca="true" t="shared" si="17" ref="K47:K57">+K7*$K$45</f>
        <v>0.117</v>
      </c>
      <c r="L47" s="48">
        <f aca="true" t="shared" si="18" ref="L47:L57">+L7*$L$45</f>
        <v>0.98</v>
      </c>
      <c r="M47" s="48">
        <f aca="true" t="shared" si="19" ref="M47:M56">+M7*$M$45</f>
        <v>0.42</v>
      </c>
      <c r="N47" s="48">
        <f aca="true" t="shared" si="20" ref="N47:N57">+N7*$N$45</f>
        <v>0.78</v>
      </c>
      <c r="O47" s="48">
        <f aca="true" t="shared" si="21" ref="O47:O57">+O7*$O$45</f>
        <v>0.4365</v>
      </c>
      <c r="P47" s="60">
        <f aca="true" t="shared" si="22" ref="P47:P57">+P7*$P$45</f>
        <v>0.25200000000000006</v>
      </c>
      <c r="Q47" s="48">
        <f aca="true" t="shared" si="23" ref="Q47:Q57">+Q7*$Q$45</f>
        <v>0.22</v>
      </c>
      <c r="R47" s="48">
        <f aca="true" t="shared" si="24" ref="R47:R57">+R7*$R$45</f>
        <v>0.17</v>
      </c>
      <c r="S47" s="150">
        <v>0.15</v>
      </c>
    </row>
    <row r="48" spans="1:19" ht="16.5">
      <c r="A48" s="38">
        <v>19</v>
      </c>
      <c r="B48" s="39" t="s">
        <v>238</v>
      </c>
      <c r="C48" s="40">
        <v>5</v>
      </c>
      <c r="D48" s="41" t="s">
        <v>238</v>
      </c>
      <c r="E48" s="42">
        <v>4102</v>
      </c>
      <c r="F48" s="41" t="s">
        <v>242</v>
      </c>
      <c r="G48" s="48">
        <f t="shared" si="13"/>
        <v>0.081</v>
      </c>
      <c r="H48" s="48">
        <f t="shared" si="14"/>
        <v>0.12150000000000001</v>
      </c>
      <c r="I48" s="48">
        <f t="shared" si="15"/>
        <v>0.20700000000000002</v>
      </c>
      <c r="J48" s="48">
        <f t="shared" si="16"/>
        <v>0.87</v>
      </c>
      <c r="K48" s="48">
        <f t="shared" si="17"/>
        <v>0.0945</v>
      </c>
      <c r="L48" s="48">
        <f t="shared" si="18"/>
        <v>0.98</v>
      </c>
      <c r="M48" s="48">
        <f t="shared" si="19"/>
        <v>0.55</v>
      </c>
      <c r="N48" s="48">
        <f t="shared" si="20"/>
        <v>0.6</v>
      </c>
      <c r="O48" s="48">
        <f t="shared" si="21"/>
        <v>0.4365</v>
      </c>
      <c r="P48" s="60">
        <f t="shared" si="22"/>
        <v>0.14400000000000002</v>
      </c>
      <c r="Q48" s="48">
        <f t="shared" si="23"/>
        <v>0.22</v>
      </c>
      <c r="R48" s="48">
        <f t="shared" si="24"/>
        <v>0.17</v>
      </c>
      <c r="S48" s="150">
        <v>0.13</v>
      </c>
    </row>
    <row r="49" spans="1:19" ht="16.5">
      <c r="A49" s="38">
        <v>20</v>
      </c>
      <c r="B49" s="39" t="s">
        <v>238</v>
      </c>
      <c r="C49" s="40">
        <v>5</v>
      </c>
      <c r="D49" s="41" t="s">
        <v>243</v>
      </c>
      <c r="E49" s="42">
        <v>4201</v>
      </c>
      <c r="F49" s="41" t="s">
        <v>240</v>
      </c>
      <c r="G49" s="48">
        <f t="shared" si="13"/>
        <v>0.1125</v>
      </c>
      <c r="H49" s="48">
        <f t="shared" si="14"/>
        <v>0.1845</v>
      </c>
      <c r="I49" s="48">
        <f t="shared" si="15"/>
        <v>0.24750000000000003</v>
      </c>
      <c r="J49" s="48">
        <f t="shared" si="16"/>
        <v>0.9</v>
      </c>
      <c r="K49" s="48">
        <f t="shared" si="17"/>
        <v>0.162</v>
      </c>
      <c r="L49" s="48">
        <f t="shared" si="18"/>
        <v>0.98</v>
      </c>
      <c r="M49" s="48">
        <f t="shared" si="19"/>
        <v>0.43</v>
      </c>
      <c r="N49" s="48">
        <f t="shared" si="20"/>
        <v>0.72</v>
      </c>
      <c r="O49" s="48">
        <f t="shared" si="21"/>
        <v>0.4365</v>
      </c>
      <c r="P49" s="60">
        <f t="shared" si="22"/>
        <v>0.1935</v>
      </c>
      <c r="Q49" s="48">
        <f t="shared" si="23"/>
        <v>0.22</v>
      </c>
      <c r="R49" s="48">
        <f t="shared" si="24"/>
        <v>0.17</v>
      </c>
      <c r="S49" s="150">
        <v>0.15</v>
      </c>
    </row>
    <row r="50" spans="1:19" ht="16.5">
      <c r="A50" s="38">
        <v>21</v>
      </c>
      <c r="B50" s="39" t="s">
        <v>238</v>
      </c>
      <c r="C50" s="40">
        <v>5</v>
      </c>
      <c r="D50" s="41" t="s">
        <v>244</v>
      </c>
      <c r="E50" s="42">
        <v>4101</v>
      </c>
      <c r="F50" s="41" t="s">
        <v>242</v>
      </c>
      <c r="G50" s="48">
        <f t="shared" si="13"/>
        <v>0.09000000000000001</v>
      </c>
      <c r="H50" s="48">
        <f t="shared" si="14"/>
        <v>0.1125</v>
      </c>
      <c r="I50" s="48">
        <f t="shared" si="15"/>
        <v>0.2115</v>
      </c>
      <c r="J50" s="48">
        <f t="shared" si="16"/>
        <v>0.89</v>
      </c>
      <c r="K50" s="48">
        <f t="shared" si="17"/>
        <v>0.0945</v>
      </c>
      <c r="L50" s="48">
        <f t="shared" si="18"/>
        <v>0.98</v>
      </c>
      <c r="M50" s="48">
        <f t="shared" si="19"/>
        <v>0.5</v>
      </c>
      <c r="N50" s="48">
        <f t="shared" si="20"/>
        <v>0.63</v>
      </c>
      <c r="O50" s="48">
        <f t="shared" si="21"/>
        <v>0.4275</v>
      </c>
      <c r="P50" s="60">
        <f>+P10*$P$45</f>
        <v>0.1125</v>
      </c>
      <c r="Q50" s="48">
        <f t="shared" si="23"/>
        <v>0.22</v>
      </c>
      <c r="R50" s="48">
        <f t="shared" si="24"/>
        <v>0.17</v>
      </c>
      <c r="S50" s="150">
        <v>0.13</v>
      </c>
    </row>
    <row r="51" spans="1:19" ht="16.5">
      <c r="A51" s="38">
        <v>22</v>
      </c>
      <c r="B51" s="39" t="s">
        <v>238</v>
      </c>
      <c r="C51" s="40">
        <v>5</v>
      </c>
      <c r="D51" s="41" t="s">
        <v>245</v>
      </c>
      <c r="E51" s="42">
        <v>4203</v>
      </c>
      <c r="F51" s="41" t="s">
        <v>240</v>
      </c>
      <c r="G51" s="48">
        <f t="shared" si="13"/>
        <v>0.081</v>
      </c>
      <c r="H51" s="48">
        <f t="shared" si="14"/>
        <v>0.12600000000000003</v>
      </c>
      <c r="I51" s="48">
        <f t="shared" si="15"/>
        <v>0.279</v>
      </c>
      <c r="J51" s="48">
        <f t="shared" si="16"/>
        <v>0.82</v>
      </c>
      <c r="K51" s="48">
        <f t="shared" si="17"/>
        <v>0.108</v>
      </c>
      <c r="L51" s="48">
        <f t="shared" si="18"/>
        <v>0.98</v>
      </c>
      <c r="M51" s="48">
        <f t="shared" si="19"/>
        <v>0.43</v>
      </c>
      <c r="N51" s="48">
        <f t="shared" si="20"/>
        <v>0.75</v>
      </c>
      <c r="O51" s="48">
        <f t="shared" si="21"/>
        <v>0.4365</v>
      </c>
      <c r="P51" s="60">
        <f t="shared" si="22"/>
        <v>0.216</v>
      </c>
      <c r="Q51" s="48">
        <f t="shared" si="23"/>
        <v>0.22</v>
      </c>
      <c r="R51" s="48">
        <f t="shared" si="24"/>
        <v>0.19</v>
      </c>
      <c r="S51" s="150">
        <v>0.15</v>
      </c>
    </row>
    <row r="52" spans="1:19" ht="16.5">
      <c r="A52" s="38">
        <v>23</v>
      </c>
      <c r="B52" s="39" t="s">
        <v>238</v>
      </c>
      <c r="C52" s="40">
        <v>5</v>
      </c>
      <c r="D52" s="41" t="s">
        <v>246</v>
      </c>
      <c r="E52" s="42">
        <v>4303</v>
      </c>
      <c r="F52" s="41" t="s">
        <v>240</v>
      </c>
      <c r="G52" s="48">
        <f t="shared" si="13"/>
        <v>0.081</v>
      </c>
      <c r="H52" s="48">
        <f t="shared" si="14"/>
        <v>0.117</v>
      </c>
      <c r="I52" s="48">
        <f t="shared" si="15"/>
        <v>0.29700000000000004</v>
      </c>
      <c r="J52" s="48">
        <f t="shared" si="16"/>
        <v>0.87</v>
      </c>
      <c r="K52" s="48">
        <f t="shared" si="17"/>
        <v>0.0945</v>
      </c>
      <c r="L52" s="48">
        <f t="shared" si="18"/>
        <v>0.98</v>
      </c>
      <c r="M52" s="48">
        <f t="shared" si="19"/>
        <v>0.45</v>
      </c>
      <c r="N52" s="48">
        <f t="shared" si="20"/>
        <v>0.66</v>
      </c>
      <c r="O52" s="48">
        <f t="shared" si="21"/>
        <v>0.423</v>
      </c>
      <c r="P52" s="60">
        <f t="shared" si="22"/>
        <v>0.1305</v>
      </c>
      <c r="Q52" s="48">
        <f t="shared" si="23"/>
        <v>0.22</v>
      </c>
      <c r="R52" s="48">
        <f t="shared" si="24"/>
        <v>0.17</v>
      </c>
      <c r="S52" s="150">
        <v>0.15</v>
      </c>
    </row>
    <row r="53" spans="1:19" ht="16.5">
      <c r="A53" s="38">
        <v>24</v>
      </c>
      <c r="B53" s="39" t="s">
        <v>238</v>
      </c>
      <c r="C53" s="40">
        <v>5</v>
      </c>
      <c r="D53" s="41" t="s">
        <v>247</v>
      </c>
      <c r="E53" s="42">
        <v>4301</v>
      </c>
      <c r="F53" s="41" t="s">
        <v>240</v>
      </c>
      <c r="G53" s="48">
        <f t="shared" si="13"/>
        <v>0.09000000000000001</v>
      </c>
      <c r="H53" s="48">
        <f t="shared" si="14"/>
        <v>0.12150000000000001</v>
      </c>
      <c r="I53" s="48">
        <f t="shared" si="15"/>
        <v>0.24750000000000003</v>
      </c>
      <c r="J53" s="48">
        <f t="shared" si="16"/>
        <v>0.87</v>
      </c>
      <c r="K53" s="48">
        <f t="shared" si="17"/>
        <v>0.10350000000000001</v>
      </c>
      <c r="L53" s="48">
        <f t="shared" si="18"/>
        <v>0.98</v>
      </c>
      <c r="M53" s="48">
        <f t="shared" si="19"/>
        <v>0.55</v>
      </c>
      <c r="N53" s="48">
        <f t="shared" si="20"/>
        <v>0.7</v>
      </c>
      <c r="O53" s="48">
        <f t="shared" si="21"/>
        <v>0.4365</v>
      </c>
      <c r="P53" s="60">
        <f t="shared" si="22"/>
        <v>0.1125</v>
      </c>
      <c r="Q53" s="48">
        <f t="shared" si="23"/>
        <v>0.22</v>
      </c>
      <c r="R53" s="48">
        <f t="shared" si="24"/>
        <v>0.17</v>
      </c>
      <c r="S53" s="150">
        <v>0.13</v>
      </c>
    </row>
    <row r="54" spans="1:19" ht="16.5">
      <c r="A54" s="38">
        <v>25</v>
      </c>
      <c r="B54" s="39" t="s">
        <v>238</v>
      </c>
      <c r="C54" s="40">
        <v>5</v>
      </c>
      <c r="D54" s="41" t="s">
        <v>248</v>
      </c>
      <c r="E54" s="42">
        <v>4304</v>
      </c>
      <c r="F54" s="41" t="s">
        <v>240</v>
      </c>
      <c r="G54" s="48">
        <f t="shared" si="13"/>
        <v>0.081</v>
      </c>
      <c r="H54" s="48">
        <f t="shared" si="14"/>
        <v>0.14400000000000002</v>
      </c>
      <c r="I54" s="48">
        <f t="shared" si="15"/>
        <v>0.24750000000000003</v>
      </c>
      <c r="J54" s="48">
        <f>+J14*$J$45</f>
        <v>0.9</v>
      </c>
      <c r="K54" s="48">
        <f t="shared" si="17"/>
        <v>0.108</v>
      </c>
      <c r="L54" s="48">
        <f t="shared" si="18"/>
        <v>0.98</v>
      </c>
      <c r="M54" s="48">
        <f t="shared" si="19"/>
        <v>0.57</v>
      </c>
      <c r="N54" s="48">
        <f t="shared" si="20"/>
        <v>0.8</v>
      </c>
      <c r="O54" s="48">
        <f t="shared" si="21"/>
        <v>0.423</v>
      </c>
      <c r="P54" s="60">
        <f t="shared" si="22"/>
        <v>0.1125</v>
      </c>
      <c r="Q54" s="48">
        <f t="shared" si="23"/>
        <v>0.22</v>
      </c>
      <c r="R54" s="48">
        <f t="shared" si="24"/>
        <v>0.17</v>
      </c>
      <c r="S54" s="150">
        <v>0.13</v>
      </c>
    </row>
    <row r="55" spans="1:19" ht="16.5">
      <c r="A55" s="38">
        <v>26</v>
      </c>
      <c r="B55" s="39" t="s">
        <v>238</v>
      </c>
      <c r="C55" s="40">
        <v>5</v>
      </c>
      <c r="D55" s="41" t="s">
        <v>249</v>
      </c>
      <c r="E55" s="42">
        <v>4305</v>
      </c>
      <c r="F55" s="41" t="s">
        <v>240</v>
      </c>
      <c r="G55" s="48">
        <f t="shared" si="13"/>
        <v>0.09000000000000001</v>
      </c>
      <c r="H55" s="48">
        <f t="shared" si="14"/>
        <v>0.30600000000000005</v>
      </c>
      <c r="I55" s="48">
        <f t="shared" si="15"/>
        <v>0.28800000000000003</v>
      </c>
      <c r="J55" s="48">
        <f t="shared" si="16"/>
        <v>0.87</v>
      </c>
      <c r="K55" s="48">
        <f t="shared" si="17"/>
        <v>0.17550000000000002</v>
      </c>
      <c r="L55" s="48">
        <f t="shared" si="18"/>
        <v>0.98</v>
      </c>
      <c r="M55" s="48">
        <f t="shared" si="19"/>
        <v>0.63</v>
      </c>
      <c r="N55" s="48">
        <f t="shared" si="20"/>
        <v>0.97</v>
      </c>
      <c r="O55" s="48">
        <f t="shared" si="21"/>
        <v>0.4365</v>
      </c>
      <c r="P55" s="60">
        <f t="shared" si="22"/>
        <v>0.23850000000000002</v>
      </c>
      <c r="Q55" s="48">
        <f t="shared" si="23"/>
        <v>0.35</v>
      </c>
      <c r="R55" s="48">
        <f t="shared" si="24"/>
        <v>0.32</v>
      </c>
      <c r="S55" s="150">
        <v>0.15</v>
      </c>
    </row>
    <row r="56" spans="1:19" ht="16.5">
      <c r="A56" s="38">
        <v>27</v>
      </c>
      <c r="B56" s="39" t="s">
        <v>238</v>
      </c>
      <c r="C56" s="40">
        <v>5</v>
      </c>
      <c r="D56" s="41" t="s">
        <v>250</v>
      </c>
      <c r="E56" s="42">
        <v>4204</v>
      </c>
      <c r="F56" s="41" t="s">
        <v>240</v>
      </c>
      <c r="G56" s="48">
        <f t="shared" si="13"/>
        <v>0.09000000000000001</v>
      </c>
      <c r="H56" s="48">
        <f t="shared" si="14"/>
        <v>0.234</v>
      </c>
      <c r="I56" s="48">
        <f t="shared" si="15"/>
        <v>0.30600000000000005</v>
      </c>
      <c r="J56" s="48">
        <f t="shared" si="16"/>
        <v>0.87</v>
      </c>
      <c r="K56" s="48">
        <f t="shared" si="17"/>
        <v>0.1395</v>
      </c>
      <c r="L56" s="48">
        <f t="shared" si="18"/>
        <v>0.98</v>
      </c>
      <c r="M56" s="48">
        <f t="shared" si="19"/>
        <v>0.51</v>
      </c>
      <c r="N56" s="48">
        <f t="shared" si="20"/>
        <v>0.75</v>
      </c>
      <c r="O56" s="48">
        <f t="shared" si="21"/>
        <v>0.4365</v>
      </c>
      <c r="P56" s="60">
        <f t="shared" si="22"/>
        <v>0.14400000000000002</v>
      </c>
      <c r="Q56" s="48">
        <f t="shared" si="23"/>
        <v>0.22</v>
      </c>
      <c r="R56" s="48">
        <f t="shared" si="24"/>
        <v>0.22</v>
      </c>
      <c r="S56" s="150">
        <v>0.15</v>
      </c>
    </row>
    <row r="57" spans="1:19" ht="16.5">
      <c r="A57" s="38">
        <v>28</v>
      </c>
      <c r="B57" s="43" t="s">
        <v>238</v>
      </c>
      <c r="C57" s="40">
        <v>5</v>
      </c>
      <c r="D57" s="44" t="s">
        <v>251</v>
      </c>
      <c r="E57" s="42">
        <v>4106</v>
      </c>
      <c r="F57" s="44" t="s">
        <v>240</v>
      </c>
      <c r="G57" s="48">
        <f t="shared" si="13"/>
        <v>0.0945</v>
      </c>
      <c r="H57" s="48">
        <f t="shared" si="14"/>
        <v>0.15300000000000002</v>
      </c>
      <c r="I57" s="48">
        <f t="shared" si="15"/>
        <v>0.29250000000000004</v>
      </c>
      <c r="J57" s="48">
        <f t="shared" si="16"/>
        <v>0.87</v>
      </c>
      <c r="K57" s="48">
        <f t="shared" si="17"/>
        <v>0.0945</v>
      </c>
      <c r="L57" s="48">
        <f t="shared" si="18"/>
        <v>0.98</v>
      </c>
      <c r="M57" s="48">
        <f>+M17*$M$45</f>
        <v>0.55</v>
      </c>
      <c r="N57" s="48">
        <f t="shared" si="20"/>
        <v>0.66</v>
      </c>
      <c r="O57" s="48">
        <f t="shared" si="21"/>
        <v>0.4365</v>
      </c>
      <c r="P57" s="60">
        <f t="shared" si="22"/>
        <v>0.20700000000000002</v>
      </c>
      <c r="Q57" s="48">
        <f t="shared" si="23"/>
        <v>0.22</v>
      </c>
      <c r="R57" s="48">
        <f t="shared" si="24"/>
        <v>0.23</v>
      </c>
      <c r="S57" s="150">
        <v>0.15</v>
      </c>
    </row>
    <row r="61" spans="1:18" ht="18">
      <c r="A61" s="298" t="s">
        <v>289</v>
      </c>
      <c r="B61" s="298"/>
      <c r="C61" s="298"/>
      <c r="D61" s="298"/>
      <c r="E61" s="298"/>
      <c r="F61" s="298"/>
      <c r="G61" s="299"/>
      <c r="H61" s="299"/>
      <c r="I61" s="299"/>
      <c r="J61" s="299"/>
      <c r="K61" s="299"/>
      <c r="L61" s="299"/>
      <c r="M61" s="299"/>
      <c r="N61" s="299"/>
      <c r="O61" s="299"/>
      <c r="P61" s="299"/>
      <c r="Q61" s="21"/>
      <c r="R61" s="22"/>
    </row>
    <row r="62" spans="1:19" ht="16.5">
      <c r="A62" s="24"/>
      <c r="B62" s="24"/>
      <c r="C62" s="24"/>
      <c r="D62" s="24"/>
      <c r="E62" s="292" t="s">
        <v>230</v>
      </c>
      <c r="F62" s="295" t="s">
        <v>231</v>
      </c>
      <c r="G62" s="302" t="s">
        <v>232</v>
      </c>
      <c r="H62" s="303"/>
      <c r="I62" s="303"/>
      <c r="J62" s="303"/>
      <c r="K62" s="303"/>
      <c r="L62" s="303"/>
      <c r="M62" s="303"/>
      <c r="N62" s="303"/>
      <c r="O62" s="303"/>
      <c r="P62" s="303"/>
      <c r="Q62" s="303"/>
      <c r="R62" s="303"/>
      <c r="S62" s="303"/>
    </row>
    <row r="63" spans="1:19" ht="16.5">
      <c r="A63" s="27"/>
      <c r="B63" s="28"/>
      <c r="C63" s="27"/>
      <c r="D63" s="27"/>
      <c r="E63" s="293"/>
      <c r="F63" s="296"/>
      <c r="G63" s="29" t="s">
        <v>276</v>
      </c>
      <c r="H63" s="30" t="s">
        <v>277</v>
      </c>
      <c r="I63" s="30" t="s">
        <v>278</v>
      </c>
      <c r="J63" s="30" t="s">
        <v>279</v>
      </c>
      <c r="K63" s="30" t="s">
        <v>280</v>
      </c>
      <c r="L63" s="30" t="s">
        <v>281</v>
      </c>
      <c r="M63" s="30" t="s">
        <v>282</v>
      </c>
      <c r="N63" s="30" t="s">
        <v>283</v>
      </c>
      <c r="O63" s="30" t="s">
        <v>284</v>
      </c>
      <c r="P63" s="30" t="s">
        <v>285</v>
      </c>
      <c r="Q63" s="30" t="s">
        <v>263</v>
      </c>
      <c r="R63" s="30" t="s">
        <v>264</v>
      </c>
      <c r="S63" s="30" t="s">
        <v>296</v>
      </c>
    </row>
    <row r="64" spans="1:19" ht="127.5">
      <c r="A64" s="27" t="s">
        <v>233</v>
      </c>
      <c r="B64" s="28" t="s">
        <v>234</v>
      </c>
      <c r="C64" s="27" t="s">
        <v>233</v>
      </c>
      <c r="D64" s="27" t="s">
        <v>0</v>
      </c>
      <c r="E64" s="293"/>
      <c r="F64" s="296"/>
      <c r="G64" s="31" t="s">
        <v>235</v>
      </c>
      <c r="H64" s="31" t="s">
        <v>267</v>
      </c>
      <c r="I64" s="31" t="s">
        <v>268</v>
      </c>
      <c r="J64" s="31" t="s">
        <v>269</v>
      </c>
      <c r="K64" s="31" t="s">
        <v>270</v>
      </c>
      <c r="L64" s="31" t="s">
        <v>271</v>
      </c>
      <c r="M64" s="31" t="s">
        <v>236</v>
      </c>
      <c r="N64" s="31" t="s">
        <v>237</v>
      </c>
      <c r="O64" s="31" t="s">
        <v>272</v>
      </c>
      <c r="P64" s="47" t="s">
        <v>273</v>
      </c>
      <c r="Q64" s="47" t="s">
        <v>265</v>
      </c>
      <c r="R64" s="47" t="s">
        <v>266</v>
      </c>
      <c r="S64" s="47" t="s">
        <v>309</v>
      </c>
    </row>
    <row r="65" spans="1:19" ht="16.5">
      <c r="A65" s="34"/>
      <c r="B65" s="35"/>
      <c r="C65" s="34"/>
      <c r="D65" s="34"/>
      <c r="E65" s="294"/>
      <c r="F65" s="297"/>
      <c r="G65" s="36">
        <v>0.65</v>
      </c>
      <c r="H65" s="36">
        <v>0.65</v>
      </c>
      <c r="I65" s="36">
        <v>0.65</v>
      </c>
      <c r="J65" s="37">
        <v>1</v>
      </c>
      <c r="K65" s="36">
        <v>0.65</v>
      </c>
      <c r="L65" s="37">
        <v>1</v>
      </c>
      <c r="M65" s="37">
        <v>1</v>
      </c>
      <c r="N65" s="37">
        <v>1</v>
      </c>
      <c r="O65" s="36">
        <v>0.65</v>
      </c>
      <c r="P65" s="36">
        <v>0.65</v>
      </c>
      <c r="Q65" s="37">
        <v>1</v>
      </c>
      <c r="R65" s="37">
        <v>1</v>
      </c>
      <c r="S65" s="154">
        <v>0.65</v>
      </c>
    </row>
    <row r="66" spans="1:19" ht="16.5">
      <c r="A66" s="38">
        <v>17</v>
      </c>
      <c r="B66" s="39" t="s">
        <v>238</v>
      </c>
      <c r="C66" s="40">
        <v>5</v>
      </c>
      <c r="D66" s="41" t="s">
        <v>239</v>
      </c>
      <c r="E66" s="42">
        <v>4202</v>
      </c>
      <c r="F66" s="41" t="s">
        <v>240</v>
      </c>
      <c r="G66" s="48">
        <f aca="true" t="shared" si="25" ref="G66:G77">+G6*$G$65</f>
        <v>0.1365</v>
      </c>
      <c r="H66" s="48">
        <f aca="true" t="shared" si="26" ref="H66:H77">+H6*$H$65</f>
        <v>0.22100000000000003</v>
      </c>
      <c r="I66" s="48">
        <f aca="true" t="shared" si="27" ref="I66:I77">+I6*$I$65</f>
        <v>0.45499999999999996</v>
      </c>
      <c r="J66" s="48">
        <f aca="true" t="shared" si="28" ref="J66:J77">+J6*$J$65</f>
        <v>0.82</v>
      </c>
      <c r="K66" s="48">
        <f aca="true" t="shared" si="29" ref="K66:K77">+K6*$K$65</f>
        <v>0.26</v>
      </c>
      <c r="L66" s="48">
        <f aca="true" t="shared" si="30" ref="L66:L77">+L6*$L$65</f>
        <v>0.98</v>
      </c>
      <c r="M66" s="48">
        <f aca="true" t="shared" si="31" ref="M66:M77">+M6*$M$65</f>
        <v>0.42</v>
      </c>
      <c r="N66" s="48">
        <f aca="true" t="shared" si="32" ref="N66:N77">+N6*$N$65</f>
        <v>0.7</v>
      </c>
      <c r="O66" s="48">
        <f aca="true" t="shared" si="33" ref="O66:O77">+O6*$O$65</f>
        <v>0.611</v>
      </c>
      <c r="P66" s="60">
        <f aca="true" t="shared" si="34" ref="P66:P77">+P6*$P$65</f>
        <v>0.22749999999999998</v>
      </c>
      <c r="Q66" s="48">
        <f aca="true" t="shared" si="35" ref="Q66:Q77">+Q6*$Q$65</f>
        <v>0.22</v>
      </c>
      <c r="R66" s="48">
        <f aca="true" t="shared" si="36" ref="R66:R77">+R6*$R$65</f>
        <v>0.15</v>
      </c>
      <c r="S66" s="150">
        <v>0.15</v>
      </c>
    </row>
    <row r="67" spans="1:19" ht="16.5">
      <c r="A67" s="38">
        <v>18</v>
      </c>
      <c r="B67" s="39" t="s">
        <v>238</v>
      </c>
      <c r="C67" s="40">
        <v>5</v>
      </c>
      <c r="D67" s="41" t="s">
        <v>241</v>
      </c>
      <c r="E67" s="42">
        <v>4302</v>
      </c>
      <c r="F67" s="41" t="s">
        <v>240</v>
      </c>
      <c r="G67" s="48">
        <f t="shared" si="25"/>
        <v>0.13</v>
      </c>
      <c r="H67" s="48">
        <f t="shared" si="26"/>
        <v>0.24700000000000003</v>
      </c>
      <c r="I67" s="48">
        <f t="shared" si="27"/>
        <v>0.44849999999999995</v>
      </c>
      <c r="J67" s="48">
        <f t="shared" si="28"/>
        <v>0.82</v>
      </c>
      <c r="K67" s="48">
        <f t="shared" si="29"/>
        <v>0.169</v>
      </c>
      <c r="L67" s="48">
        <f t="shared" si="30"/>
        <v>0.98</v>
      </c>
      <c r="M67" s="48">
        <f t="shared" si="31"/>
        <v>0.42</v>
      </c>
      <c r="N67" s="48">
        <f t="shared" si="32"/>
        <v>0.78</v>
      </c>
      <c r="O67" s="48">
        <f t="shared" si="33"/>
        <v>0.6305</v>
      </c>
      <c r="P67" s="60">
        <f t="shared" si="34"/>
        <v>0.36400000000000005</v>
      </c>
      <c r="Q67" s="48">
        <f t="shared" si="35"/>
        <v>0.22</v>
      </c>
      <c r="R67" s="48">
        <f t="shared" si="36"/>
        <v>0.17</v>
      </c>
      <c r="S67" s="150">
        <v>0.15</v>
      </c>
    </row>
    <row r="68" spans="1:19" ht="16.5">
      <c r="A68" s="38">
        <v>19</v>
      </c>
      <c r="B68" s="39" t="s">
        <v>238</v>
      </c>
      <c r="C68" s="40">
        <v>5</v>
      </c>
      <c r="D68" s="41" t="s">
        <v>238</v>
      </c>
      <c r="E68" s="42">
        <v>4102</v>
      </c>
      <c r="F68" s="41" t="s">
        <v>242</v>
      </c>
      <c r="G68" s="48">
        <f t="shared" si="25"/>
        <v>0.11699999999999999</v>
      </c>
      <c r="H68" s="48">
        <f t="shared" si="26"/>
        <v>0.17550000000000002</v>
      </c>
      <c r="I68" s="48">
        <f t="shared" si="27"/>
        <v>0.29900000000000004</v>
      </c>
      <c r="J68" s="48">
        <f t="shared" si="28"/>
        <v>0.87</v>
      </c>
      <c r="K68" s="48">
        <f t="shared" si="29"/>
        <v>0.1365</v>
      </c>
      <c r="L68" s="48">
        <f t="shared" si="30"/>
        <v>0.98</v>
      </c>
      <c r="M68" s="48">
        <f t="shared" si="31"/>
        <v>0.55</v>
      </c>
      <c r="N68" s="48">
        <f t="shared" si="32"/>
        <v>0.6</v>
      </c>
      <c r="O68" s="48">
        <f t="shared" si="33"/>
        <v>0.6305</v>
      </c>
      <c r="P68" s="60">
        <f t="shared" si="34"/>
        <v>0.20800000000000002</v>
      </c>
      <c r="Q68" s="48">
        <f t="shared" si="35"/>
        <v>0.22</v>
      </c>
      <c r="R68" s="48">
        <f t="shared" si="36"/>
        <v>0.17</v>
      </c>
      <c r="S68" s="150">
        <v>0.13</v>
      </c>
    </row>
    <row r="69" spans="1:19" ht="16.5">
      <c r="A69" s="38">
        <v>20</v>
      </c>
      <c r="B69" s="39" t="s">
        <v>238</v>
      </c>
      <c r="C69" s="40">
        <v>5</v>
      </c>
      <c r="D69" s="41" t="s">
        <v>243</v>
      </c>
      <c r="E69" s="42">
        <v>4201</v>
      </c>
      <c r="F69" s="41" t="s">
        <v>240</v>
      </c>
      <c r="G69" s="48">
        <f t="shared" si="25"/>
        <v>0.1625</v>
      </c>
      <c r="H69" s="48">
        <f t="shared" si="26"/>
        <v>0.2665</v>
      </c>
      <c r="I69" s="48">
        <f t="shared" si="27"/>
        <v>0.35750000000000004</v>
      </c>
      <c r="J69" s="48">
        <f t="shared" si="28"/>
        <v>0.9</v>
      </c>
      <c r="K69" s="48">
        <f t="shared" si="29"/>
        <v>0.23399999999999999</v>
      </c>
      <c r="L69" s="48">
        <f t="shared" si="30"/>
        <v>0.98</v>
      </c>
      <c r="M69" s="48">
        <f t="shared" si="31"/>
        <v>0.43</v>
      </c>
      <c r="N69" s="48">
        <f t="shared" si="32"/>
        <v>0.72</v>
      </c>
      <c r="O69" s="48">
        <f t="shared" si="33"/>
        <v>0.6305</v>
      </c>
      <c r="P69" s="60">
        <f t="shared" si="34"/>
        <v>0.2795</v>
      </c>
      <c r="Q69" s="48">
        <f t="shared" si="35"/>
        <v>0.22</v>
      </c>
      <c r="R69" s="48">
        <f t="shared" si="36"/>
        <v>0.17</v>
      </c>
      <c r="S69" s="150">
        <v>0.15</v>
      </c>
    </row>
    <row r="70" spans="1:19" ht="16.5">
      <c r="A70" s="38">
        <v>21</v>
      </c>
      <c r="B70" s="39" t="s">
        <v>238</v>
      </c>
      <c r="C70" s="40">
        <v>5</v>
      </c>
      <c r="D70" s="41" t="s">
        <v>244</v>
      </c>
      <c r="E70" s="42">
        <v>4101</v>
      </c>
      <c r="F70" s="41" t="s">
        <v>242</v>
      </c>
      <c r="G70" s="48">
        <f t="shared" si="25"/>
        <v>0.13</v>
      </c>
      <c r="H70" s="48">
        <f t="shared" si="26"/>
        <v>0.1625</v>
      </c>
      <c r="I70" s="48">
        <f t="shared" si="27"/>
        <v>0.3055</v>
      </c>
      <c r="J70" s="48">
        <f t="shared" si="28"/>
        <v>0.89</v>
      </c>
      <c r="K70" s="48">
        <f t="shared" si="29"/>
        <v>0.1365</v>
      </c>
      <c r="L70" s="48">
        <f t="shared" si="30"/>
        <v>0.98</v>
      </c>
      <c r="M70" s="48">
        <f t="shared" si="31"/>
        <v>0.5</v>
      </c>
      <c r="N70" s="48">
        <f t="shared" si="32"/>
        <v>0.63</v>
      </c>
      <c r="O70" s="48">
        <f t="shared" si="33"/>
        <v>0.6174999999999999</v>
      </c>
      <c r="P70" s="60">
        <f t="shared" si="34"/>
        <v>0.1625</v>
      </c>
      <c r="Q70" s="48">
        <f t="shared" si="35"/>
        <v>0.22</v>
      </c>
      <c r="R70" s="48">
        <f t="shared" si="36"/>
        <v>0.17</v>
      </c>
      <c r="S70" s="150">
        <v>0.13</v>
      </c>
    </row>
    <row r="71" spans="1:19" ht="16.5">
      <c r="A71" s="38">
        <v>22</v>
      </c>
      <c r="B71" s="39" t="s">
        <v>238</v>
      </c>
      <c r="C71" s="40">
        <v>5</v>
      </c>
      <c r="D71" s="41" t="s">
        <v>245</v>
      </c>
      <c r="E71" s="42">
        <v>4203</v>
      </c>
      <c r="F71" s="41" t="s">
        <v>240</v>
      </c>
      <c r="G71" s="48">
        <f t="shared" si="25"/>
        <v>0.11699999999999999</v>
      </c>
      <c r="H71" s="48">
        <f t="shared" si="26"/>
        <v>0.18200000000000002</v>
      </c>
      <c r="I71" s="48">
        <f t="shared" si="27"/>
        <v>0.403</v>
      </c>
      <c r="J71" s="48">
        <f t="shared" si="28"/>
        <v>0.82</v>
      </c>
      <c r="K71" s="48">
        <f t="shared" si="29"/>
        <v>0.156</v>
      </c>
      <c r="L71" s="48">
        <f t="shared" si="30"/>
        <v>0.98</v>
      </c>
      <c r="M71" s="48">
        <f t="shared" si="31"/>
        <v>0.43</v>
      </c>
      <c r="N71" s="48">
        <f t="shared" si="32"/>
        <v>0.75</v>
      </c>
      <c r="O71" s="48">
        <f t="shared" si="33"/>
        <v>0.6305</v>
      </c>
      <c r="P71" s="60">
        <f t="shared" si="34"/>
        <v>0.312</v>
      </c>
      <c r="Q71" s="48">
        <f t="shared" si="35"/>
        <v>0.22</v>
      </c>
      <c r="R71" s="48">
        <f t="shared" si="36"/>
        <v>0.19</v>
      </c>
      <c r="S71" s="150">
        <v>0.15</v>
      </c>
    </row>
    <row r="72" spans="1:19" ht="16.5">
      <c r="A72" s="38">
        <v>23</v>
      </c>
      <c r="B72" s="39" t="s">
        <v>238</v>
      </c>
      <c r="C72" s="40">
        <v>5</v>
      </c>
      <c r="D72" s="41" t="s">
        <v>246</v>
      </c>
      <c r="E72" s="42">
        <v>4303</v>
      </c>
      <c r="F72" s="41" t="s">
        <v>240</v>
      </c>
      <c r="G72" s="48">
        <f t="shared" si="25"/>
        <v>0.11699999999999999</v>
      </c>
      <c r="H72" s="48">
        <f t="shared" si="26"/>
        <v>0.169</v>
      </c>
      <c r="I72" s="48">
        <f t="shared" si="27"/>
        <v>0.42900000000000005</v>
      </c>
      <c r="J72" s="48">
        <f t="shared" si="28"/>
        <v>0.87</v>
      </c>
      <c r="K72" s="48">
        <f t="shared" si="29"/>
        <v>0.1365</v>
      </c>
      <c r="L72" s="48">
        <f t="shared" si="30"/>
        <v>0.98</v>
      </c>
      <c r="M72" s="48">
        <f t="shared" si="31"/>
        <v>0.45</v>
      </c>
      <c r="N72" s="48">
        <f t="shared" si="32"/>
        <v>0.66</v>
      </c>
      <c r="O72" s="48">
        <f t="shared" si="33"/>
        <v>0.611</v>
      </c>
      <c r="P72" s="60">
        <f t="shared" si="34"/>
        <v>0.1885</v>
      </c>
      <c r="Q72" s="48">
        <f t="shared" si="35"/>
        <v>0.22</v>
      </c>
      <c r="R72" s="48">
        <f t="shared" si="36"/>
        <v>0.17</v>
      </c>
      <c r="S72" s="150">
        <v>0.15</v>
      </c>
    </row>
    <row r="73" spans="1:19" ht="16.5">
      <c r="A73" s="38">
        <v>24</v>
      </c>
      <c r="B73" s="39" t="s">
        <v>238</v>
      </c>
      <c r="C73" s="40">
        <v>5</v>
      </c>
      <c r="D73" s="41" t="s">
        <v>247</v>
      </c>
      <c r="E73" s="42">
        <v>4301</v>
      </c>
      <c r="F73" s="41" t="s">
        <v>240</v>
      </c>
      <c r="G73" s="48">
        <f t="shared" si="25"/>
        <v>0.13</v>
      </c>
      <c r="H73" s="48">
        <f t="shared" si="26"/>
        <v>0.17550000000000002</v>
      </c>
      <c r="I73" s="48">
        <f t="shared" si="27"/>
        <v>0.35750000000000004</v>
      </c>
      <c r="J73" s="48">
        <f t="shared" si="28"/>
        <v>0.87</v>
      </c>
      <c r="K73" s="48">
        <f t="shared" si="29"/>
        <v>0.14950000000000002</v>
      </c>
      <c r="L73" s="48">
        <f t="shared" si="30"/>
        <v>0.98</v>
      </c>
      <c r="M73" s="48">
        <f t="shared" si="31"/>
        <v>0.55</v>
      </c>
      <c r="N73" s="48">
        <f t="shared" si="32"/>
        <v>0.7</v>
      </c>
      <c r="O73" s="48">
        <f t="shared" si="33"/>
        <v>0.6305</v>
      </c>
      <c r="P73" s="60">
        <f t="shared" si="34"/>
        <v>0.1625</v>
      </c>
      <c r="Q73" s="48">
        <f t="shared" si="35"/>
        <v>0.22</v>
      </c>
      <c r="R73" s="48">
        <f t="shared" si="36"/>
        <v>0.17</v>
      </c>
      <c r="S73" s="150">
        <v>0.13</v>
      </c>
    </row>
    <row r="74" spans="1:19" ht="16.5">
      <c r="A74" s="38">
        <v>25</v>
      </c>
      <c r="B74" s="39" t="s">
        <v>238</v>
      </c>
      <c r="C74" s="40">
        <v>5</v>
      </c>
      <c r="D74" s="41" t="s">
        <v>248</v>
      </c>
      <c r="E74" s="42">
        <v>4304</v>
      </c>
      <c r="F74" s="41" t="s">
        <v>240</v>
      </c>
      <c r="G74" s="48">
        <f t="shared" si="25"/>
        <v>0.11699999999999999</v>
      </c>
      <c r="H74" s="48">
        <f t="shared" si="26"/>
        <v>0.20800000000000002</v>
      </c>
      <c r="I74" s="48">
        <f t="shared" si="27"/>
        <v>0.35750000000000004</v>
      </c>
      <c r="J74" s="48">
        <f t="shared" si="28"/>
        <v>0.9</v>
      </c>
      <c r="K74" s="48">
        <f t="shared" si="29"/>
        <v>0.156</v>
      </c>
      <c r="L74" s="48">
        <f t="shared" si="30"/>
        <v>0.98</v>
      </c>
      <c r="M74" s="48">
        <f t="shared" si="31"/>
        <v>0.57</v>
      </c>
      <c r="N74" s="48">
        <f t="shared" si="32"/>
        <v>0.8</v>
      </c>
      <c r="O74" s="48">
        <f t="shared" si="33"/>
        <v>0.611</v>
      </c>
      <c r="P74" s="60">
        <f t="shared" si="34"/>
        <v>0.1625</v>
      </c>
      <c r="Q74" s="48">
        <f t="shared" si="35"/>
        <v>0.22</v>
      </c>
      <c r="R74" s="48">
        <f t="shared" si="36"/>
        <v>0.17</v>
      </c>
      <c r="S74" s="150">
        <v>0.13</v>
      </c>
    </row>
    <row r="75" spans="1:19" ht="16.5">
      <c r="A75" s="38">
        <v>26</v>
      </c>
      <c r="B75" s="39" t="s">
        <v>238</v>
      </c>
      <c r="C75" s="40">
        <v>5</v>
      </c>
      <c r="D75" s="41" t="s">
        <v>249</v>
      </c>
      <c r="E75" s="42">
        <v>4305</v>
      </c>
      <c r="F75" s="41" t="s">
        <v>240</v>
      </c>
      <c r="G75" s="48">
        <f t="shared" si="25"/>
        <v>0.13</v>
      </c>
      <c r="H75" s="48">
        <f t="shared" si="26"/>
        <v>0.44200000000000006</v>
      </c>
      <c r="I75" s="48">
        <f t="shared" si="27"/>
        <v>0.41600000000000004</v>
      </c>
      <c r="J75" s="48">
        <f t="shared" si="28"/>
        <v>0.87</v>
      </c>
      <c r="K75" s="48">
        <f t="shared" si="29"/>
        <v>0.2535</v>
      </c>
      <c r="L75" s="48">
        <f t="shared" si="30"/>
        <v>0.98</v>
      </c>
      <c r="M75" s="48">
        <f t="shared" si="31"/>
        <v>0.63</v>
      </c>
      <c r="N75" s="48">
        <f t="shared" si="32"/>
        <v>0.97</v>
      </c>
      <c r="O75" s="48">
        <f t="shared" si="33"/>
        <v>0.6305</v>
      </c>
      <c r="P75" s="60">
        <f t="shared" si="34"/>
        <v>0.34450000000000003</v>
      </c>
      <c r="Q75" s="48">
        <f t="shared" si="35"/>
        <v>0.35</v>
      </c>
      <c r="R75" s="48">
        <f t="shared" si="36"/>
        <v>0.32</v>
      </c>
      <c r="S75" s="150">
        <v>0.15</v>
      </c>
    </row>
    <row r="76" spans="1:19" ht="16.5">
      <c r="A76" s="38">
        <v>27</v>
      </c>
      <c r="B76" s="39" t="s">
        <v>238</v>
      </c>
      <c r="C76" s="40">
        <v>5</v>
      </c>
      <c r="D76" s="41" t="s">
        <v>250</v>
      </c>
      <c r="E76" s="42">
        <v>4204</v>
      </c>
      <c r="F76" s="41" t="s">
        <v>240</v>
      </c>
      <c r="G76" s="48">
        <f t="shared" si="25"/>
        <v>0.13</v>
      </c>
      <c r="H76" s="48">
        <f t="shared" si="26"/>
        <v>0.338</v>
      </c>
      <c r="I76" s="48">
        <f t="shared" si="27"/>
        <v>0.44200000000000006</v>
      </c>
      <c r="J76" s="48">
        <f t="shared" si="28"/>
        <v>0.87</v>
      </c>
      <c r="K76" s="48">
        <f t="shared" si="29"/>
        <v>0.2015</v>
      </c>
      <c r="L76" s="48">
        <f t="shared" si="30"/>
        <v>0.98</v>
      </c>
      <c r="M76" s="48">
        <f t="shared" si="31"/>
        <v>0.51</v>
      </c>
      <c r="N76" s="48">
        <f t="shared" si="32"/>
        <v>0.75</v>
      </c>
      <c r="O76" s="48">
        <f t="shared" si="33"/>
        <v>0.6305</v>
      </c>
      <c r="P76" s="60">
        <f t="shared" si="34"/>
        <v>0.20800000000000002</v>
      </c>
      <c r="Q76" s="48">
        <f t="shared" si="35"/>
        <v>0.22</v>
      </c>
      <c r="R76" s="48">
        <f t="shared" si="36"/>
        <v>0.22</v>
      </c>
      <c r="S76" s="150">
        <v>0.15</v>
      </c>
    </row>
    <row r="77" spans="1:19" ht="16.5">
      <c r="A77" s="38">
        <v>28</v>
      </c>
      <c r="B77" s="43" t="s">
        <v>238</v>
      </c>
      <c r="C77" s="40">
        <v>5</v>
      </c>
      <c r="D77" s="44" t="s">
        <v>251</v>
      </c>
      <c r="E77" s="42">
        <v>4106</v>
      </c>
      <c r="F77" s="44" t="s">
        <v>240</v>
      </c>
      <c r="G77" s="48">
        <f t="shared" si="25"/>
        <v>0.1365</v>
      </c>
      <c r="H77" s="48">
        <f t="shared" si="26"/>
        <v>0.22100000000000003</v>
      </c>
      <c r="I77" s="48">
        <f t="shared" si="27"/>
        <v>0.42250000000000004</v>
      </c>
      <c r="J77" s="48">
        <f t="shared" si="28"/>
        <v>0.87</v>
      </c>
      <c r="K77" s="48">
        <f t="shared" si="29"/>
        <v>0.1365</v>
      </c>
      <c r="L77" s="48">
        <f t="shared" si="30"/>
        <v>0.98</v>
      </c>
      <c r="M77" s="48">
        <f t="shared" si="31"/>
        <v>0.55</v>
      </c>
      <c r="N77" s="48">
        <f t="shared" si="32"/>
        <v>0.66</v>
      </c>
      <c r="O77" s="48">
        <f t="shared" si="33"/>
        <v>0.6305</v>
      </c>
      <c r="P77" s="60">
        <f t="shared" si="34"/>
        <v>0.29900000000000004</v>
      </c>
      <c r="Q77" s="48">
        <f t="shared" si="35"/>
        <v>0.22</v>
      </c>
      <c r="R77" s="48">
        <f t="shared" si="36"/>
        <v>0.23</v>
      </c>
      <c r="S77" s="150">
        <v>0.15</v>
      </c>
    </row>
    <row r="81" spans="1:18" ht="18">
      <c r="A81" s="298" t="s">
        <v>290</v>
      </c>
      <c r="B81" s="298"/>
      <c r="C81" s="298"/>
      <c r="D81" s="298"/>
      <c r="E81" s="298"/>
      <c r="F81" s="298"/>
      <c r="G81" s="299"/>
      <c r="H81" s="299"/>
      <c r="I81" s="299"/>
      <c r="J81" s="299"/>
      <c r="K81" s="299"/>
      <c r="L81" s="299"/>
      <c r="M81" s="299"/>
      <c r="N81" s="299"/>
      <c r="O81" s="299"/>
      <c r="P81" s="299"/>
      <c r="Q81" s="21"/>
      <c r="R81" s="22"/>
    </row>
    <row r="82" spans="1:19" ht="16.5">
      <c r="A82" s="24"/>
      <c r="B82" s="24"/>
      <c r="C82" s="24"/>
      <c r="D82" s="24"/>
      <c r="E82" s="292" t="s">
        <v>230</v>
      </c>
      <c r="F82" s="295" t="s">
        <v>231</v>
      </c>
      <c r="G82" s="302" t="s">
        <v>232</v>
      </c>
      <c r="H82" s="303"/>
      <c r="I82" s="303"/>
      <c r="J82" s="303"/>
      <c r="K82" s="303"/>
      <c r="L82" s="303"/>
      <c r="M82" s="303"/>
      <c r="N82" s="303"/>
      <c r="O82" s="303"/>
      <c r="P82" s="303"/>
      <c r="Q82" s="303"/>
      <c r="R82" s="303"/>
      <c r="S82" s="303"/>
    </row>
    <row r="83" spans="1:19" ht="16.5">
      <c r="A83" s="27"/>
      <c r="B83" s="28"/>
      <c r="C83" s="27"/>
      <c r="D83" s="27"/>
      <c r="E83" s="293"/>
      <c r="F83" s="296"/>
      <c r="G83" s="29" t="s">
        <v>276</v>
      </c>
      <c r="H83" s="30" t="s">
        <v>277</v>
      </c>
      <c r="I83" s="30" t="s">
        <v>278</v>
      </c>
      <c r="J83" s="30" t="s">
        <v>279</v>
      </c>
      <c r="K83" s="30" t="s">
        <v>280</v>
      </c>
      <c r="L83" s="30" t="s">
        <v>281</v>
      </c>
      <c r="M83" s="30" t="s">
        <v>282</v>
      </c>
      <c r="N83" s="30" t="s">
        <v>283</v>
      </c>
      <c r="O83" s="30" t="s">
        <v>284</v>
      </c>
      <c r="P83" s="30" t="s">
        <v>285</v>
      </c>
      <c r="Q83" s="30" t="s">
        <v>263</v>
      </c>
      <c r="R83" s="30" t="s">
        <v>264</v>
      </c>
      <c r="S83" s="30" t="s">
        <v>296</v>
      </c>
    </row>
    <row r="84" spans="1:19" ht="127.5">
      <c r="A84" s="27" t="s">
        <v>233</v>
      </c>
      <c r="B84" s="28" t="s">
        <v>234</v>
      </c>
      <c r="C84" s="27" t="s">
        <v>233</v>
      </c>
      <c r="D84" s="27" t="s">
        <v>0</v>
      </c>
      <c r="E84" s="293"/>
      <c r="F84" s="296"/>
      <c r="G84" s="31" t="s">
        <v>235</v>
      </c>
      <c r="H84" s="31" t="s">
        <v>267</v>
      </c>
      <c r="I84" s="31" t="s">
        <v>268</v>
      </c>
      <c r="J84" s="31" t="s">
        <v>269</v>
      </c>
      <c r="K84" s="31" t="s">
        <v>270</v>
      </c>
      <c r="L84" s="31" t="s">
        <v>271</v>
      </c>
      <c r="M84" s="31" t="s">
        <v>236</v>
      </c>
      <c r="N84" s="31" t="s">
        <v>237</v>
      </c>
      <c r="O84" s="31" t="s">
        <v>272</v>
      </c>
      <c r="P84" s="47" t="s">
        <v>273</v>
      </c>
      <c r="Q84" s="47" t="s">
        <v>265</v>
      </c>
      <c r="R84" s="47" t="s">
        <v>266</v>
      </c>
      <c r="S84" s="47" t="s">
        <v>309</v>
      </c>
    </row>
    <row r="85" spans="1:19" ht="16.5">
      <c r="A85" s="34"/>
      <c r="B85" s="35"/>
      <c r="C85" s="34"/>
      <c r="D85" s="34"/>
      <c r="E85" s="294"/>
      <c r="F85" s="297"/>
      <c r="G85" s="36">
        <v>0.83</v>
      </c>
      <c r="H85" s="36">
        <v>0.83</v>
      </c>
      <c r="I85" s="36">
        <v>0.83</v>
      </c>
      <c r="J85" s="37">
        <v>1</v>
      </c>
      <c r="K85" s="36">
        <v>0.83</v>
      </c>
      <c r="L85" s="37">
        <v>1</v>
      </c>
      <c r="M85" s="37">
        <v>1</v>
      </c>
      <c r="N85" s="37">
        <v>1</v>
      </c>
      <c r="O85" s="36">
        <v>0.83</v>
      </c>
      <c r="P85" s="36">
        <v>0.83</v>
      </c>
      <c r="Q85" s="37">
        <v>1</v>
      </c>
      <c r="R85" s="37">
        <v>1</v>
      </c>
      <c r="S85" s="154">
        <v>0.83</v>
      </c>
    </row>
    <row r="86" spans="1:19" ht="16.5">
      <c r="A86" s="38">
        <v>17</v>
      </c>
      <c r="B86" s="39" t="s">
        <v>238</v>
      </c>
      <c r="C86" s="40">
        <v>5</v>
      </c>
      <c r="D86" s="41" t="s">
        <v>239</v>
      </c>
      <c r="E86" s="42">
        <v>4202</v>
      </c>
      <c r="F86" s="41" t="s">
        <v>240</v>
      </c>
      <c r="G86" s="48">
        <f>+G6*$G$85</f>
        <v>0.17429999999999998</v>
      </c>
      <c r="H86" s="48">
        <f>+H6*$H$85</f>
        <v>0.2822</v>
      </c>
      <c r="I86" s="48">
        <f>+I6*$I$85</f>
        <v>0.581</v>
      </c>
      <c r="J86" s="48">
        <f>+J6*$J$85</f>
        <v>0.82</v>
      </c>
      <c r="K86" s="48">
        <f>+K6*$K$85</f>
        <v>0.332</v>
      </c>
      <c r="L86" s="48">
        <f>+L6*$L$85</f>
        <v>0.98</v>
      </c>
      <c r="M86" s="48">
        <f>+M6*$M$85</f>
        <v>0.42</v>
      </c>
      <c r="N86" s="48">
        <f>+N6*$N$85</f>
        <v>0.7</v>
      </c>
      <c r="O86" s="48">
        <f>+O6*$O$85</f>
        <v>0.7801999999999999</v>
      </c>
      <c r="P86" s="60">
        <f>+P6*$P$85</f>
        <v>0.2905</v>
      </c>
      <c r="Q86" s="48">
        <f>+Q6*$Q$85</f>
        <v>0.22</v>
      </c>
      <c r="R86" s="48">
        <f>+R6*$R$85</f>
        <v>0.15</v>
      </c>
      <c r="S86" s="150">
        <v>0.15</v>
      </c>
    </row>
    <row r="87" spans="1:19" ht="16.5">
      <c r="A87" s="38">
        <v>18</v>
      </c>
      <c r="B87" s="39" t="s">
        <v>238</v>
      </c>
      <c r="C87" s="40">
        <v>5</v>
      </c>
      <c r="D87" s="41" t="s">
        <v>241</v>
      </c>
      <c r="E87" s="42">
        <v>4302</v>
      </c>
      <c r="F87" s="41" t="s">
        <v>240</v>
      </c>
      <c r="G87" s="48">
        <f aca="true" t="shared" si="37" ref="G87:G97">+G7*$G$85</f>
        <v>0.166</v>
      </c>
      <c r="H87" s="48">
        <f aca="true" t="shared" si="38" ref="H87:H97">+H7*$H$85</f>
        <v>0.3154</v>
      </c>
      <c r="I87" s="48">
        <f aca="true" t="shared" si="39" ref="I87:I97">+I7*$I$85</f>
        <v>0.5726999999999999</v>
      </c>
      <c r="J87" s="48">
        <f aca="true" t="shared" si="40" ref="J87:J97">+J7*$J$85</f>
        <v>0.82</v>
      </c>
      <c r="K87" s="48">
        <f aca="true" t="shared" si="41" ref="K87:K97">+K7*$K$85</f>
        <v>0.2158</v>
      </c>
      <c r="L87" s="48">
        <f aca="true" t="shared" si="42" ref="L87:L97">+L7*$L$85</f>
        <v>0.98</v>
      </c>
      <c r="M87" s="48">
        <f aca="true" t="shared" si="43" ref="M87:M97">+M7*$M$85</f>
        <v>0.42</v>
      </c>
      <c r="N87" s="48">
        <f aca="true" t="shared" si="44" ref="N87:N97">+N7*$N$85</f>
        <v>0.78</v>
      </c>
      <c r="O87" s="48">
        <f aca="true" t="shared" si="45" ref="O87:O97">+O7*$O$85</f>
        <v>0.8050999999999999</v>
      </c>
      <c r="P87" s="60">
        <f aca="true" t="shared" si="46" ref="P87:P97">+P7*$P$85</f>
        <v>0.46480000000000005</v>
      </c>
      <c r="Q87" s="48">
        <f aca="true" t="shared" si="47" ref="Q87:Q97">+Q7*$Q$85</f>
        <v>0.22</v>
      </c>
      <c r="R87" s="48">
        <f aca="true" t="shared" si="48" ref="R87:R97">+R7*$R$85</f>
        <v>0.17</v>
      </c>
      <c r="S87" s="150">
        <v>0.15</v>
      </c>
    </row>
    <row r="88" spans="1:19" ht="16.5">
      <c r="A88" s="38">
        <v>19</v>
      </c>
      <c r="B88" s="39" t="s">
        <v>238</v>
      </c>
      <c r="C88" s="40">
        <v>5</v>
      </c>
      <c r="D88" s="41" t="s">
        <v>238</v>
      </c>
      <c r="E88" s="42">
        <v>4102</v>
      </c>
      <c r="F88" s="41" t="s">
        <v>242</v>
      </c>
      <c r="G88" s="48">
        <f t="shared" si="37"/>
        <v>0.14939999999999998</v>
      </c>
      <c r="H88" s="48">
        <f t="shared" si="38"/>
        <v>0.2241</v>
      </c>
      <c r="I88" s="48">
        <f t="shared" si="39"/>
        <v>0.3818</v>
      </c>
      <c r="J88" s="48">
        <f t="shared" si="40"/>
        <v>0.87</v>
      </c>
      <c r="K88" s="48">
        <f t="shared" si="41"/>
        <v>0.17429999999999998</v>
      </c>
      <c r="L88" s="48">
        <f t="shared" si="42"/>
        <v>0.98</v>
      </c>
      <c r="M88" s="48">
        <f t="shared" si="43"/>
        <v>0.55</v>
      </c>
      <c r="N88" s="48">
        <f t="shared" si="44"/>
        <v>0.6</v>
      </c>
      <c r="O88" s="48">
        <f t="shared" si="45"/>
        <v>0.8050999999999999</v>
      </c>
      <c r="P88" s="60">
        <f t="shared" si="46"/>
        <v>0.2656</v>
      </c>
      <c r="Q88" s="48">
        <f t="shared" si="47"/>
        <v>0.22</v>
      </c>
      <c r="R88" s="48">
        <f t="shared" si="48"/>
        <v>0.17</v>
      </c>
      <c r="S88" s="150">
        <v>0.13</v>
      </c>
    </row>
    <row r="89" spans="1:19" ht="16.5">
      <c r="A89" s="38">
        <v>20</v>
      </c>
      <c r="B89" s="39" t="s">
        <v>238</v>
      </c>
      <c r="C89" s="40">
        <v>5</v>
      </c>
      <c r="D89" s="41" t="s">
        <v>243</v>
      </c>
      <c r="E89" s="42">
        <v>4201</v>
      </c>
      <c r="F89" s="41" t="s">
        <v>240</v>
      </c>
      <c r="G89" s="48">
        <f t="shared" si="37"/>
        <v>0.2075</v>
      </c>
      <c r="H89" s="48">
        <f t="shared" si="38"/>
        <v>0.34029999999999994</v>
      </c>
      <c r="I89" s="48">
        <f t="shared" si="39"/>
        <v>0.4565</v>
      </c>
      <c r="J89" s="48">
        <f t="shared" si="40"/>
        <v>0.9</v>
      </c>
      <c r="K89" s="48">
        <f t="shared" si="41"/>
        <v>0.29879999999999995</v>
      </c>
      <c r="L89" s="48">
        <f t="shared" si="42"/>
        <v>0.98</v>
      </c>
      <c r="M89" s="48">
        <f t="shared" si="43"/>
        <v>0.43</v>
      </c>
      <c r="N89" s="48">
        <f t="shared" si="44"/>
        <v>0.72</v>
      </c>
      <c r="O89" s="48">
        <f t="shared" si="45"/>
        <v>0.8050999999999999</v>
      </c>
      <c r="P89" s="60">
        <f t="shared" si="46"/>
        <v>0.3569</v>
      </c>
      <c r="Q89" s="48">
        <f t="shared" si="47"/>
        <v>0.22</v>
      </c>
      <c r="R89" s="48">
        <f t="shared" si="48"/>
        <v>0.17</v>
      </c>
      <c r="S89" s="150">
        <v>0.15</v>
      </c>
    </row>
    <row r="90" spans="1:19" ht="16.5">
      <c r="A90" s="38">
        <v>21</v>
      </c>
      <c r="B90" s="39" t="s">
        <v>238</v>
      </c>
      <c r="C90" s="40">
        <v>5</v>
      </c>
      <c r="D90" s="41" t="s">
        <v>244</v>
      </c>
      <c r="E90" s="42">
        <v>4101</v>
      </c>
      <c r="F90" s="41" t="s">
        <v>242</v>
      </c>
      <c r="G90" s="48">
        <f t="shared" si="37"/>
        <v>0.166</v>
      </c>
      <c r="H90" s="48">
        <f t="shared" si="38"/>
        <v>0.2075</v>
      </c>
      <c r="I90" s="48">
        <f t="shared" si="39"/>
        <v>0.39009999999999995</v>
      </c>
      <c r="J90" s="48">
        <f t="shared" si="40"/>
        <v>0.89</v>
      </c>
      <c r="K90" s="48">
        <f t="shared" si="41"/>
        <v>0.17429999999999998</v>
      </c>
      <c r="L90" s="48">
        <f t="shared" si="42"/>
        <v>0.98</v>
      </c>
      <c r="M90" s="48">
        <f t="shared" si="43"/>
        <v>0.5</v>
      </c>
      <c r="N90" s="48">
        <f t="shared" si="44"/>
        <v>0.63</v>
      </c>
      <c r="O90" s="48">
        <f t="shared" si="45"/>
        <v>0.7885</v>
      </c>
      <c r="P90" s="60">
        <f t="shared" si="46"/>
        <v>0.2075</v>
      </c>
      <c r="Q90" s="48">
        <f t="shared" si="47"/>
        <v>0.22</v>
      </c>
      <c r="R90" s="48">
        <f t="shared" si="48"/>
        <v>0.17</v>
      </c>
      <c r="S90" s="150">
        <v>0.13</v>
      </c>
    </row>
    <row r="91" spans="1:19" ht="16.5">
      <c r="A91" s="38">
        <v>22</v>
      </c>
      <c r="B91" s="39" t="s">
        <v>238</v>
      </c>
      <c r="C91" s="40">
        <v>5</v>
      </c>
      <c r="D91" s="41" t="s">
        <v>245</v>
      </c>
      <c r="E91" s="42">
        <v>4203</v>
      </c>
      <c r="F91" s="41" t="s">
        <v>240</v>
      </c>
      <c r="G91" s="48">
        <f t="shared" si="37"/>
        <v>0.14939999999999998</v>
      </c>
      <c r="H91" s="48">
        <f t="shared" si="38"/>
        <v>0.23240000000000002</v>
      </c>
      <c r="I91" s="48">
        <f t="shared" si="39"/>
        <v>0.5146</v>
      </c>
      <c r="J91" s="48">
        <f t="shared" si="40"/>
        <v>0.82</v>
      </c>
      <c r="K91" s="48">
        <f t="shared" si="41"/>
        <v>0.1992</v>
      </c>
      <c r="L91" s="48">
        <f t="shared" si="42"/>
        <v>0.98</v>
      </c>
      <c r="M91" s="48">
        <f t="shared" si="43"/>
        <v>0.43</v>
      </c>
      <c r="N91" s="48">
        <f t="shared" si="44"/>
        <v>0.75</v>
      </c>
      <c r="O91" s="48">
        <f t="shared" si="45"/>
        <v>0.8050999999999999</v>
      </c>
      <c r="P91" s="60">
        <f t="shared" si="46"/>
        <v>0.3984</v>
      </c>
      <c r="Q91" s="48">
        <f t="shared" si="47"/>
        <v>0.22</v>
      </c>
      <c r="R91" s="48">
        <f t="shared" si="48"/>
        <v>0.19</v>
      </c>
      <c r="S91" s="150">
        <v>0.15</v>
      </c>
    </row>
    <row r="92" spans="1:19" ht="16.5">
      <c r="A92" s="38">
        <v>23</v>
      </c>
      <c r="B92" s="39" t="s">
        <v>238</v>
      </c>
      <c r="C92" s="40">
        <v>5</v>
      </c>
      <c r="D92" s="41" t="s">
        <v>246</v>
      </c>
      <c r="E92" s="42">
        <v>4303</v>
      </c>
      <c r="F92" s="41" t="s">
        <v>240</v>
      </c>
      <c r="G92" s="48">
        <f t="shared" si="37"/>
        <v>0.14939999999999998</v>
      </c>
      <c r="H92" s="48">
        <f t="shared" si="38"/>
        <v>0.2158</v>
      </c>
      <c r="I92" s="48">
        <f t="shared" si="39"/>
        <v>0.5478</v>
      </c>
      <c r="J92" s="48">
        <f t="shared" si="40"/>
        <v>0.87</v>
      </c>
      <c r="K92" s="48">
        <f t="shared" si="41"/>
        <v>0.17429999999999998</v>
      </c>
      <c r="L92" s="48">
        <f t="shared" si="42"/>
        <v>0.98</v>
      </c>
      <c r="M92" s="48">
        <f t="shared" si="43"/>
        <v>0.45</v>
      </c>
      <c r="N92" s="48">
        <f t="shared" si="44"/>
        <v>0.66</v>
      </c>
      <c r="O92" s="48">
        <f t="shared" si="45"/>
        <v>0.7801999999999999</v>
      </c>
      <c r="P92" s="60">
        <f t="shared" si="46"/>
        <v>0.24069999999999997</v>
      </c>
      <c r="Q92" s="48">
        <f t="shared" si="47"/>
        <v>0.22</v>
      </c>
      <c r="R92" s="48">
        <f t="shared" si="48"/>
        <v>0.17</v>
      </c>
      <c r="S92" s="150">
        <v>0.15</v>
      </c>
    </row>
    <row r="93" spans="1:19" ht="16.5">
      <c r="A93" s="38">
        <v>24</v>
      </c>
      <c r="B93" s="39" t="s">
        <v>238</v>
      </c>
      <c r="C93" s="40">
        <v>5</v>
      </c>
      <c r="D93" s="41" t="s">
        <v>247</v>
      </c>
      <c r="E93" s="42">
        <v>4301</v>
      </c>
      <c r="F93" s="41" t="s">
        <v>240</v>
      </c>
      <c r="G93" s="48">
        <f t="shared" si="37"/>
        <v>0.166</v>
      </c>
      <c r="H93" s="48">
        <f t="shared" si="38"/>
        <v>0.2241</v>
      </c>
      <c r="I93" s="48">
        <f t="shared" si="39"/>
        <v>0.4565</v>
      </c>
      <c r="J93" s="48">
        <f t="shared" si="40"/>
        <v>0.87</v>
      </c>
      <c r="K93" s="48">
        <f t="shared" si="41"/>
        <v>0.1909</v>
      </c>
      <c r="L93" s="48">
        <f t="shared" si="42"/>
        <v>0.98</v>
      </c>
      <c r="M93" s="48">
        <f t="shared" si="43"/>
        <v>0.55</v>
      </c>
      <c r="N93" s="48">
        <f t="shared" si="44"/>
        <v>0.7</v>
      </c>
      <c r="O93" s="48">
        <f t="shared" si="45"/>
        <v>0.8050999999999999</v>
      </c>
      <c r="P93" s="60">
        <f t="shared" si="46"/>
        <v>0.2075</v>
      </c>
      <c r="Q93" s="48">
        <f t="shared" si="47"/>
        <v>0.22</v>
      </c>
      <c r="R93" s="48">
        <f t="shared" si="48"/>
        <v>0.17</v>
      </c>
      <c r="S93" s="150">
        <v>0.13</v>
      </c>
    </row>
    <row r="94" spans="1:19" ht="16.5">
      <c r="A94" s="38">
        <v>25</v>
      </c>
      <c r="B94" s="39" t="s">
        <v>238</v>
      </c>
      <c r="C94" s="40">
        <v>5</v>
      </c>
      <c r="D94" s="41" t="s">
        <v>248</v>
      </c>
      <c r="E94" s="42">
        <v>4304</v>
      </c>
      <c r="F94" s="41" t="s">
        <v>240</v>
      </c>
      <c r="G94" s="48">
        <f t="shared" si="37"/>
        <v>0.14939999999999998</v>
      </c>
      <c r="H94" s="48">
        <f t="shared" si="38"/>
        <v>0.2656</v>
      </c>
      <c r="I94" s="48">
        <f t="shared" si="39"/>
        <v>0.4565</v>
      </c>
      <c r="J94" s="48">
        <f t="shared" si="40"/>
        <v>0.9</v>
      </c>
      <c r="K94" s="48">
        <f t="shared" si="41"/>
        <v>0.1992</v>
      </c>
      <c r="L94" s="48">
        <f t="shared" si="42"/>
        <v>0.98</v>
      </c>
      <c r="M94" s="48">
        <f t="shared" si="43"/>
        <v>0.57</v>
      </c>
      <c r="N94" s="48">
        <f t="shared" si="44"/>
        <v>0.8</v>
      </c>
      <c r="O94" s="48">
        <f t="shared" si="45"/>
        <v>0.7801999999999999</v>
      </c>
      <c r="P94" s="60">
        <f t="shared" si="46"/>
        <v>0.2075</v>
      </c>
      <c r="Q94" s="48">
        <f t="shared" si="47"/>
        <v>0.22</v>
      </c>
      <c r="R94" s="48">
        <f t="shared" si="48"/>
        <v>0.17</v>
      </c>
      <c r="S94" s="150">
        <v>0.13</v>
      </c>
    </row>
    <row r="95" spans="1:19" ht="16.5">
      <c r="A95" s="38">
        <v>26</v>
      </c>
      <c r="B95" s="39" t="s">
        <v>238</v>
      </c>
      <c r="C95" s="40">
        <v>5</v>
      </c>
      <c r="D95" s="41" t="s">
        <v>249</v>
      </c>
      <c r="E95" s="42">
        <v>4305</v>
      </c>
      <c r="F95" s="41" t="s">
        <v>240</v>
      </c>
      <c r="G95" s="48">
        <f t="shared" si="37"/>
        <v>0.166</v>
      </c>
      <c r="H95" s="48">
        <f t="shared" si="38"/>
        <v>0.5644</v>
      </c>
      <c r="I95" s="48">
        <f t="shared" si="39"/>
        <v>0.5312</v>
      </c>
      <c r="J95" s="48">
        <f t="shared" si="40"/>
        <v>0.87</v>
      </c>
      <c r="K95" s="48">
        <f t="shared" si="41"/>
        <v>0.3237</v>
      </c>
      <c r="L95" s="48">
        <f t="shared" si="42"/>
        <v>0.98</v>
      </c>
      <c r="M95" s="48">
        <f t="shared" si="43"/>
        <v>0.63</v>
      </c>
      <c r="N95" s="48">
        <f t="shared" si="44"/>
        <v>0.97</v>
      </c>
      <c r="O95" s="48">
        <f t="shared" si="45"/>
        <v>0.8050999999999999</v>
      </c>
      <c r="P95" s="60">
        <f t="shared" si="46"/>
        <v>0.4399</v>
      </c>
      <c r="Q95" s="48">
        <f t="shared" si="47"/>
        <v>0.35</v>
      </c>
      <c r="R95" s="48">
        <f t="shared" si="48"/>
        <v>0.32</v>
      </c>
      <c r="S95" s="150">
        <v>0.15</v>
      </c>
    </row>
    <row r="96" spans="1:19" ht="16.5">
      <c r="A96" s="38">
        <v>27</v>
      </c>
      <c r="B96" s="39" t="s">
        <v>238</v>
      </c>
      <c r="C96" s="40">
        <v>5</v>
      </c>
      <c r="D96" s="41" t="s">
        <v>250</v>
      </c>
      <c r="E96" s="42">
        <v>4204</v>
      </c>
      <c r="F96" s="41" t="s">
        <v>240</v>
      </c>
      <c r="G96" s="48">
        <f t="shared" si="37"/>
        <v>0.166</v>
      </c>
      <c r="H96" s="48">
        <f t="shared" si="38"/>
        <v>0.4316</v>
      </c>
      <c r="I96" s="48">
        <f t="shared" si="39"/>
        <v>0.5644</v>
      </c>
      <c r="J96" s="48">
        <f t="shared" si="40"/>
        <v>0.87</v>
      </c>
      <c r="K96" s="48">
        <f t="shared" si="41"/>
        <v>0.2573</v>
      </c>
      <c r="L96" s="48">
        <f t="shared" si="42"/>
        <v>0.98</v>
      </c>
      <c r="M96" s="48">
        <f t="shared" si="43"/>
        <v>0.51</v>
      </c>
      <c r="N96" s="48">
        <f t="shared" si="44"/>
        <v>0.75</v>
      </c>
      <c r="O96" s="48">
        <f t="shared" si="45"/>
        <v>0.8050999999999999</v>
      </c>
      <c r="P96" s="60">
        <f t="shared" si="46"/>
        <v>0.2656</v>
      </c>
      <c r="Q96" s="48">
        <f t="shared" si="47"/>
        <v>0.22</v>
      </c>
      <c r="R96" s="48">
        <f t="shared" si="48"/>
        <v>0.22</v>
      </c>
      <c r="S96" s="150">
        <v>0.15</v>
      </c>
    </row>
    <row r="97" spans="1:19" ht="16.5">
      <c r="A97" s="38">
        <v>28</v>
      </c>
      <c r="B97" s="43" t="s">
        <v>238</v>
      </c>
      <c r="C97" s="40">
        <v>5</v>
      </c>
      <c r="D97" s="44" t="s">
        <v>251</v>
      </c>
      <c r="E97" s="42">
        <v>4106</v>
      </c>
      <c r="F97" s="44" t="s">
        <v>240</v>
      </c>
      <c r="G97" s="48">
        <f t="shared" si="37"/>
        <v>0.17429999999999998</v>
      </c>
      <c r="H97" s="48">
        <f t="shared" si="38"/>
        <v>0.2822</v>
      </c>
      <c r="I97" s="48">
        <f t="shared" si="39"/>
        <v>0.5395</v>
      </c>
      <c r="J97" s="48">
        <f t="shared" si="40"/>
        <v>0.87</v>
      </c>
      <c r="K97" s="48">
        <f t="shared" si="41"/>
        <v>0.17429999999999998</v>
      </c>
      <c r="L97" s="48">
        <f t="shared" si="42"/>
        <v>0.98</v>
      </c>
      <c r="M97" s="48">
        <f t="shared" si="43"/>
        <v>0.55</v>
      </c>
      <c r="N97" s="48">
        <f t="shared" si="44"/>
        <v>0.66</v>
      </c>
      <c r="O97" s="48">
        <f t="shared" si="45"/>
        <v>0.8050999999999999</v>
      </c>
      <c r="P97" s="60">
        <f t="shared" si="46"/>
        <v>0.3818</v>
      </c>
      <c r="Q97" s="48">
        <f t="shared" si="47"/>
        <v>0.22</v>
      </c>
      <c r="R97" s="48">
        <f t="shared" si="48"/>
        <v>0.23</v>
      </c>
      <c r="S97" s="150">
        <v>0.15</v>
      </c>
    </row>
    <row r="101" spans="1:18" ht="18">
      <c r="A101" s="298" t="s">
        <v>291</v>
      </c>
      <c r="B101" s="298"/>
      <c r="C101" s="298"/>
      <c r="D101" s="298"/>
      <c r="E101" s="298"/>
      <c r="F101" s="298"/>
      <c r="G101" s="299"/>
      <c r="H101" s="299"/>
      <c r="I101" s="299"/>
      <c r="J101" s="299"/>
      <c r="K101" s="299"/>
      <c r="L101" s="299"/>
      <c r="M101" s="299"/>
      <c r="N101" s="299"/>
      <c r="O101" s="299"/>
      <c r="P101" s="299"/>
      <c r="Q101" s="21"/>
      <c r="R101" s="22"/>
    </row>
    <row r="102" spans="1:19" ht="16.5">
      <c r="A102" s="24"/>
      <c r="B102" s="24"/>
      <c r="C102" s="24"/>
      <c r="D102" s="24"/>
      <c r="E102" s="292" t="s">
        <v>230</v>
      </c>
      <c r="F102" s="295" t="s">
        <v>231</v>
      </c>
      <c r="G102" s="302" t="s">
        <v>232</v>
      </c>
      <c r="H102" s="303"/>
      <c r="I102" s="303"/>
      <c r="J102" s="303"/>
      <c r="K102" s="303"/>
      <c r="L102" s="303"/>
      <c r="M102" s="303"/>
      <c r="N102" s="303"/>
      <c r="O102" s="303"/>
      <c r="P102" s="303"/>
      <c r="Q102" s="303"/>
      <c r="R102" s="303"/>
      <c r="S102" s="303"/>
    </row>
    <row r="103" spans="1:19" ht="16.5">
      <c r="A103" s="27"/>
      <c r="B103" s="28"/>
      <c r="C103" s="27"/>
      <c r="D103" s="27"/>
      <c r="E103" s="293"/>
      <c r="F103" s="296"/>
      <c r="G103" s="29" t="s">
        <v>276</v>
      </c>
      <c r="H103" s="30" t="s">
        <v>277</v>
      </c>
      <c r="I103" s="30" t="s">
        <v>278</v>
      </c>
      <c r="J103" s="30" t="s">
        <v>279</v>
      </c>
      <c r="K103" s="30" t="s">
        <v>280</v>
      </c>
      <c r="L103" s="30" t="s">
        <v>281</v>
      </c>
      <c r="M103" s="30" t="s">
        <v>282</v>
      </c>
      <c r="N103" s="30" t="s">
        <v>283</v>
      </c>
      <c r="O103" s="30" t="s">
        <v>284</v>
      </c>
      <c r="P103" s="30" t="s">
        <v>285</v>
      </c>
      <c r="Q103" s="30" t="s">
        <v>263</v>
      </c>
      <c r="R103" s="30" t="s">
        <v>264</v>
      </c>
      <c r="S103" s="30" t="s">
        <v>296</v>
      </c>
    </row>
    <row r="104" spans="1:19" ht="127.5">
      <c r="A104" s="27" t="s">
        <v>233</v>
      </c>
      <c r="B104" s="28" t="s">
        <v>234</v>
      </c>
      <c r="C104" s="27" t="s">
        <v>233</v>
      </c>
      <c r="D104" s="27" t="s">
        <v>0</v>
      </c>
      <c r="E104" s="293"/>
      <c r="F104" s="296"/>
      <c r="G104" s="31" t="s">
        <v>235</v>
      </c>
      <c r="H104" s="31" t="s">
        <v>267</v>
      </c>
      <c r="I104" s="31" t="s">
        <v>268</v>
      </c>
      <c r="J104" s="31" t="s">
        <v>269</v>
      </c>
      <c r="K104" s="31" t="s">
        <v>270</v>
      </c>
      <c r="L104" s="31" t="s">
        <v>271</v>
      </c>
      <c r="M104" s="31" t="s">
        <v>236</v>
      </c>
      <c r="N104" s="31" t="s">
        <v>237</v>
      </c>
      <c r="O104" s="31" t="s">
        <v>272</v>
      </c>
      <c r="P104" s="47" t="s">
        <v>273</v>
      </c>
      <c r="Q104" s="47" t="s">
        <v>265</v>
      </c>
      <c r="R104" s="47" t="s">
        <v>266</v>
      </c>
      <c r="S104" s="47" t="s">
        <v>309</v>
      </c>
    </row>
    <row r="105" spans="1:19" ht="16.5">
      <c r="A105" s="34"/>
      <c r="B105" s="35"/>
      <c r="C105" s="34"/>
      <c r="D105" s="34"/>
      <c r="E105" s="294"/>
      <c r="F105" s="297"/>
      <c r="G105" s="36">
        <v>1</v>
      </c>
      <c r="H105" s="36">
        <v>1</v>
      </c>
      <c r="I105" s="36">
        <v>1</v>
      </c>
      <c r="J105" s="37">
        <v>1</v>
      </c>
      <c r="K105" s="36">
        <v>1</v>
      </c>
      <c r="L105" s="37">
        <v>1</v>
      </c>
      <c r="M105" s="37">
        <v>1</v>
      </c>
      <c r="N105" s="37">
        <v>1</v>
      </c>
      <c r="O105" s="36">
        <v>1</v>
      </c>
      <c r="P105" s="36">
        <v>1</v>
      </c>
      <c r="Q105" s="37">
        <v>1</v>
      </c>
      <c r="R105" s="37">
        <v>1</v>
      </c>
      <c r="S105" s="154">
        <v>1</v>
      </c>
    </row>
    <row r="106" spans="1:19" ht="16.5">
      <c r="A106" s="38">
        <v>17</v>
      </c>
      <c r="B106" s="39" t="s">
        <v>238</v>
      </c>
      <c r="C106" s="40">
        <v>5</v>
      </c>
      <c r="D106" s="41" t="s">
        <v>239</v>
      </c>
      <c r="E106" s="42">
        <v>4202</v>
      </c>
      <c r="F106" s="41" t="s">
        <v>240</v>
      </c>
      <c r="G106" s="48">
        <f aca="true" t="shared" si="49" ref="G106:G117">+G6*$G$105</f>
        <v>0.21</v>
      </c>
      <c r="H106" s="48">
        <f aca="true" t="shared" si="50" ref="H106:H117">+H6*$H$105</f>
        <v>0.34</v>
      </c>
      <c r="I106" s="48">
        <f aca="true" t="shared" si="51" ref="I106:I117">+I6*$I$105</f>
        <v>0.7</v>
      </c>
      <c r="J106" s="48">
        <f aca="true" t="shared" si="52" ref="J106:J117">+J6*$J$105</f>
        <v>0.82</v>
      </c>
      <c r="K106" s="48">
        <f aca="true" t="shared" si="53" ref="K106:K117">+K6*$K$105</f>
        <v>0.4</v>
      </c>
      <c r="L106" s="48">
        <f aca="true" t="shared" si="54" ref="L106:L117">+L6*$L$105</f>
        <v>0.98</v>
      </c>
      <c r="M106" s="48">
        <f aca="true" t="shared" si="55" ref="M106:M117">+M6*$M$105</f>
        <v>0.42</v>
      </c>
      <c r="N106" s="48">
        <f aca="true" t="shared" si="56" ref="N106:N117">+N6*$N$105</f>
        <v>0.7</v>
      </c>
      <c r="O106" s="48">
        <f aca="true" t="shared" si="57" ref="O106:O117">+O6*$O$105</f>
        <v>0.94</v>
      </c>
      <c r="P106" s="48">
        <f aca="true" t="shared" si="58" ref="P106:P117">+P6*$P$105</f>
        <v>0.35</v>
      </c>
      <c r="Q106" s="48">
        <f aca="true" t="shared" si="59" ref="Q106:Q117">+Q6*$Q$105</f>
        <v>0.22</v>
      </c>
      <c r="R106" s="48">
        <f aca="true" t="shared" si="60" ref="R106:R117">+R6*$R$105</f>
        <v>0.15</v>
      </c>
      <c r="S106" s="48">
        <f aca="true" t="shared" si="61" ref="S106:S117">+S6*$S$105</f>
        <v>0.15</v>
      </c>
    </row>
    <row r="107" spans="1:19" ht="16.5">
      <c r="A107" s="38">
        <v>18</v>
      </c>
      <c r="B107" s="39" t="s">
        <v>238</v>
      </c>
      <c r="C107" s="40">
        <v>5</v>
      </c>
      <c r="D107" s="41" t="s">
        <v>241</v>
      </c>
      <c r="E107" s="42">
        <v>4302</v>
      </c>
      <c r="F107" s="41" t="s">
        <v>240</v>
      </c>
      <c r="G107" s="48">
        <f t="shared" si="49"/>
        <v>0.2</v>
      </c>
      <c r="H107" s="48">
        <f t="shared" si="50"/>
        <v>0.38</v>
      </c>
      <c r="I107" s="48">
        <f t="shared" si="51"/>
        <v>0.69</v>
      </c>
      <c r="J107" s="48">
        <f t="shared" si="52"/>
        <v>0.82</v>
      </c>
      <c r="K107" s="48">
        <f t="shared" si="53"/>
        <v>0.26</v>
      </c>
      <c r="L107" s="48">
        <f t="shared" si="54"/>
        <v>0.98</v>
      </c>
      <c r="M107" s="48">
        <f t="shared" si="55"/>
        <v>0.42</v>
      </c>
      <c r="N107" s="48">
        <f t="shared" si="56"/>
        <v>0.78</v>
      </c>
      <c r="O107" s="48">
        <f t="shared" si="57"/>
        <v>0.97</v>
      </c>
      <c r="P107" s="48">
        <f t="shared" si="58"/>
        <v>0.56</v>
      </c>
      <c r="Q107" s="48">
        <f t="shared" si="59"/>
        <v>0.22</v>
      </c>
      <c r="R107" s="48">
        <f t="shared" si="60"/>
        <v>0.17</v>
      </c>
      <c r="S107" s="48">
        <f t="shared" si="61"/>
        <v>0.15</v>
      </c>
    </row>
    <row r="108" spans="1:19" ht="16.5">
      <c r="A108" s="38">
        <v>19</v>
      </c>
      <c r="B108" s="39" t="s">
        <v>238</v>
      </c>
      <c r="C108" s="40">
        <v>5</v>
      </c>
      <c r="D108" s="41" t="s">
        <v>238</v>
      </c>
      <c r="E108" s="42">
        <v>4102</v>
      </c>
      <c r="F108" s="41" t="s">
        <v>242</v>
      </c>
      <c r="G108" s="48">
        <f t="shared" si="49"/>
        <v>0.18</v>
      </c>
      <c r="H108" s="48">
        <f t="shared" si="50"/>
        <v>0.27</v>
      </c>
      <c r="I108" s="48">
        <f t="shared" si="51"/>
        <v>0.46</v>
      </c>
      <c r="J108" s="48">
        <f t="shared" si="52"/>
        <v>0.87</v>
      </c>
      <c r="K108" s="48">
        <f t="shared" si="53"/>
        <v>0.21</v>
      </c>
      <c r="L108" s="48">
        <f t="shared" si="54"/>
        <v>0.98</v>
      </c>
      <c r="M108" s="48">
        <f t="shared" si="55"/>
        <v>0.55</v>
      </c>
      <c r="N108" s="48">
        <f t="shared" si="56"/>
        <v>0.6</v>
      </c>
      <c r="O108" s="48">
        <f t="shared" si="57"/>
        <v>0.97</v>
      </c>
      <c r="P108" s="48">
        <f t="shared" si="58"/>
        <v>0.32</v>
      </c>
      <c r="Q108" s="48">
        <f t="shared" si="59"/>
        <v>0.22</v>
      </c>
      <c r="R108" s="48">
        <f t="shared" si="60"/>
        <v>0.17</v>
      </c>
      <c r="S108" s="48">
        <f t="shared" si="61"/>
        <v>0.13</v>
      </c>
    </row>
    <row r="109" spans="1:19" ht="16.5">
      <c r="A109" s="38">
        <v>20</v>
      </c>
      <c r="B109" s="39" t="s">
        <v>238</v>
      </c>
      <c r="C109" s="40">
        <v>5</v>
      </c>
      <c r="D109" s="41" t="s">
        <v>243</v>
      </c>
      <c r="E109" s="42">
        <v>4201</v>
      </c>
      <c r="F109" s="41" t="s">
        <v>240</v>
      </c>
      <c r="G109" s="48">
        <f t="shared" si="49"/>
        <v>0.25</v>
      </c>
      <c r="H109" s="48">
        <f t="shared" si="50"/>
        <v>0.41</v>
      </c>
      <c r="I109" s="48">
        <f t="shared" si="51"/>
        <v>0.55</v>
      </c>
      <c r="J109" s="48">
        <f t="shared" si="52"/>
        <v>0.9</v>
      </c>
      <c r="K109" s="48">
        <f t="shared" si="53"/>
        <v>0.36</v>
      </c>
      <c r="L109" s="48">
        <f t="shared" si="54"/>
        <v>0.98</v>
      </c>
      <c r="M109" s="48">
        <f t="shared" si="55"/>
        <v>0.43</v>
      </c>
      <c r="N109" s="48">
        <f t="shared" si="56"/>
        <v>0.72</v>
      </c>
      <c r="O109" s="48">
        <f t="shared" si="57"/>
        <v>0.97</v>
      </c>
      <c r="P109" s="48">
        <f t="shared" si="58"/>
        <v>0.43</v>
      </c>
      <c r="Q109" s="48">
        <f t="shared" si="59"/>
        <v>0.22</v>
      </c>
      <c r="R109" s="48">
        <f t="shared" si="60"/>
        <v>0.17</v>
      </c>
      <c r="S109" s="48">
        <f t="shared" si="61"/>
        <v>0.15</v>
      </c>
    </row>
    <row r="110" spans="1:19" ht="16.5">
      <c r="A110" s="38">
        <v>21</v>
      </c>
      <c r="B110" s="39" t="s">
        <v>238</v>
      </c>
      <c r="C110" s="40">
        <v>5</v>
      </c>
      <c r="D110" s="41" t="s">
        <v>244</v>
      </c>
      <c r="E110" s="42">
        <v>4101</v>
      </c>
      <c r="F110" s="41" t="s">
        <v>242</v>
      </c>
      <c r="G110" s="48">
        <f t="shared" si="49"/>
        <v>0.2</v>
      </c>
      <c r="H110" s="48">
        <f t="shared" si="50"/>
        <v>0.25</v>
      </c>
      <c r="I110" s="48">
        <f t="shared" si="51"/>
        <v>0.47</v>
      </c>
      <c r="J110" s="48">
        <f t="shared" si="52"/>
        <v>0.89</v>
      </c>
      <c r="K110" s="48">
        <f t="shared" si="53"/>
        <v>0.21</v>
      </c>
      <c r="L110" s="48">
        <f t="shared" si="54"/>
        <v>0.98</v>
      </c>
      <c r="M110" s="48">
        <f t="shared" si="55"/>
        <v>0.5</v>
      </c>
      <c r="N110" s="48">
        <f t="shared" si="56"/>
        <v>0.63</v>
      </c>
      <c r="O110" s="48">
        <f t="shared" si="57"/>
        <v>0.95</v>
      </c>
      <c r="P110" s="48">
        <f t="shared" si="58"/>
        <v>0.25</v>
      </c>
      <c r="Q110" s="48">
        <f t="shared" si="59"/>
        <v>0.22</v>
      </c>
      <c r="R110" s="48">
        <f t="shared" si="60"/>
        <v>0.17</v>
      </c>
      <c r="S110" s="48">
        <f t="shared" si="61"/>
        <v>0.13</v>
      </c>
    </row>
    <row r="111" spans="1:19" ht="16.5">
      <c r="A111" s="38">
        <v>22</v>
      </c>
      <c r="B111" s="39" t="s">
        <v>238</v>
      </c>
      <c r="C111" s="40">
        <v>5</v>
      </c>
      <c r="D111" s="41" t="s">
        <v>245</v>
      </c>
      <c r="E111" s="42">
        <v>4203</v>
      </c>
      <c r="F111" s="41" t="s">
        <v>240</v>
      </c>
      <c r="G111" s="48">
        <f t="shared" si="49"/>
        <v>0.18</v>
      </c>
      <c r="H111" s="48">
        <f t="shared" si="50"/>
        <v>0.28</v>
      </c>
      <c r="I111" s="48">
        <f t="shared" si="51"/>
        <v>0.62</v>
      </c>
      <c r="J111" s="48">
        <f t="shared" si="52"/>
        <v>0.82</v>
      </c>
      <c r="K111" s="48">
        <f t="shared" si="53"/>
        <v>0.24</v>
      </c>
      <c r="L111" s="48">
        <f t="shared" si="54"/>
        <v>0.98</v>
      </c>
      <c r="M111" s="48">
        <f t="shared" si="55"/>
        <v>0.43</v>
      </c>
      <c r="N111" s="48">
        <f t="shared" si="56"/>
        <v>0.75</v>
      </c>
      <c r="O111" s="48">
        <f t="shared" si="57"/>
        <v>0.97</v>
      </c>
      <c r="P111" s="48">
        <f t="shared" si="58"/>
        <v>0.48</v>
      </c>
      <c r="Q111" s="48">
        <f t="shared" si="59"/>
        <v>0.22</v>
      </c>
      <c r="R111" s="48">
        <f t="shared" si="60"/>
        <v>0.19</v>
      </c>
      <c r="S111" s="48">
        <f t="shared" si="61"/>
        <v>0.15</v>
      </c>
    </row>
    <row r="112" spans="1:19" ht="16.5">
      <c r="A112" s="38">
        <v>23</v>
      </c>
      <c r="B112" s="39" t="s">
        <v>238</v>
      </c>
      <c r="C112" s="40">
        <v>5</v>
      </c>
      <c r="D112" s="41" t="s">
        <v>246</v>
      </c>
      <c r="E112" s="42">
        <v>4303</v>
      </c>
      <c r="F112" s="41" t="s">
        <v>240</v>
      </c>
      <c r="G112" s="48">
        <f t="shared" si="49"/>
        <v>0.18</v>
      </c>
      <c r="H112" s="48">
        <f t="shared" si="50"/>
        <v>0.26</v>
      </c>
      <c r="I112" s="48">
        <f t="shared" si="51"/>
        <v>0.66</v>
      </c>
      <c r="J112" s="48">
        <f t="shared" si="52"/>
        <v>0.87</v>
      </c>
      <c r="K112" s="48">
        <f t="shared" si="53"/>
        <v>0.21</v>
      </c>
      <c r="L112" s="48">
        <f t="shared" si="54"/>
        <v>0.98</v>
      </c>
      <c r="M112" s="48">
        <f t="shared" si="55"/>
        <v>0.45</v>
      </c>
      <c r="N112" s="48">
        <f t="shared" si="56"/>
        <v>0.66</v>
      </c>
      <c r="O112" s="48">
        <f t="shared" si="57"/>
        <v>0.94</v>
      </c>
      <c r="P112" s="48">
        <f t="shared" si="58"/>
        <v>0.29</v>
      </c>
      <c r="Q112" s="48">
        <f t="shared" si="59"/>
        <v>0.22</v>
      </c>
      <c r="R112" s="48">
        <f t="shared" si="60"/>
        <v>0.17</v>
      </c>
      <c r="S112" s="48">
        <f t="shared" si="61"/>
        <v>0.15</v>
      </c>
    </row>
    <row r="113" spans="1:19" ht="16.5">
      <c r="A113" s="38">
        <v>24</v>
      </c>
      <c r="B113" s="39" t="s">
        <v>238</v>
      </c>
      <c r="C113" s="40">
        <v>5</v>
      </c>
      <c r="D113" s="41" t="s">
        <v>247</v>
      </c>
      <c r="E113" s="42">
        <v>4301</v>
      </c>
      <c r="F113" s="41" t="s">
        <v>240</v>
      </c>
      <c r="G113" s="48">
        <f t="shared" si="49"/>
        <v>0.2</v>
      </c>
      <c r="H113" s="48">
        <f t="shared" si="50"/>
        <v>0.27</v>
      </c>
      <c r="I113" s="48">
        <f t="shared" si="51"/>
        <v>0.55</v>
      </c>
      <c r="J113" s="48">
        <f t="shared" si="52"/>
        <v>0.87</v>
      </c>
      <c r="K113" s="48">
        <f t="shared" si="53"/>
        <v>0.23</v>
      </c>
      <c r="L113" s="48">
        <f t="shared" si="54"/>
        <v>0.98</v>
      </c>
      <c r="M113" s="48">
        <f t="shared" si="55"/>
        <v>0.55</v>
      </c>
      <c r="N113" s="48">
        <f t="shared" si="56"/>
        <v>0.7</v>
      </c>
      <c r="O113" s="48">
        <f t="shared" si="57"/>
        <v>0.97</v>
      </c>
      <c r="P113" s="48">
        <f t="shared" si="58"/>
        <v>0.25</v>
      </c>
      <c r="Q113" s="48">
        <f t="shared" si="59"/>
        <v>0.22</v>
      </c>
      <c r="R113" s="48">
        <f t="shared" si="60"/>
        <v>0.17</v>
      </c>
      <c r="S113" s="48">
        <f t="shared" si="61"/>
        <v>0.13</v>
      </c>
    </row>
    <row r="114" spans="1:19" ht="16.5">
      <c r="A114" s="38">
        <v>25</v>
      </c>
      <c r="B114" s="39" t="s">
        <v>238</v>
      </c>
      <c r="C114" s="40">
        <v>5</v>
      </c>
      <c r="D114" s="41" t="s">
        <v>248</v>
      </c>
      <c r="E114" s="42">
        <v>4304</v>
      </c>
      <c r="F114" s="41" t="s">
        <v>240</v>
      </c>
      <c r="G114" s="48">
        <f t="shared" si="49"/>
        <v>0.18</v>
      </c>
      <c r="H114" s="48">
        <f t="shared" si="50"/>
        <v>0.32</v>
      </c>
      <c r="I114" s="48">
        <f t="shared" si="51"/>
        <v>0.55</v>
      </c>
      <c r="J114" s="48">
        <f t="shared" si="52"/>
        <v>0.9</v>
      </c>
      <c r="K114" s="48">
        <f t="shared" si="53"/>
        <v>0.24</v>
      </c>
      <c r="L114" s="48">
        <f t="shared" si="54"/>
        <v>0.98</v>
      </c>
      <c r="M114" s="48">
        <f t="shared" si="55"/>
        <v>0.57</v>
      </c>
      <c r="N114" s="48">
        <f t="shared" si="56"/>
        <v>0.8</v>
      </c>
      <c r="O114" s="48">
        <f t="shared" si="57"/>
        <v>0.94</v>
      </c>
      <c r="P114" s="48">
        <f t="shared" si="58"/>
        <v>0.25</v>
      </c>
      <c r="Q114" s="48">
        <f t="shared" si="59"/>
        <v>0.22</v>
      </c>
      <c r="R114" s="48">
        <f t="shared" si="60"/>
        <v>0.17</v>
      </c>
      <c r="S114" s="48">
        <f t="shared" si="61"/>
        <v>0.13</v>
      </c>
    </row>
    <row r="115" spans="1:19" ht="16.5">
      <c r="A115" s="38">
        <v>26</v>
      </c>
      <c r="B115" s="39" t="s">
        <v>238</v>
      </c>
      <c r="C115" s="40">
        <v>5</v>
      </c>
      <c r="D115" s="41" t="s">
        <v>249</v>
      </c>
      <c r="E115" s="42">
        <v>4305</v>
      </c>
      <c r="F115" s="41" t="s">
        <v>240</v>
      </c>
      <c r="G115" s="48">
        <f t="shared" si="49"/>
        <v>0.2</v>
      </c>
      <c r="H115" s="48">
        <f t="shared" si="50"/>
        <v>0.68</v>
      </c>
      <c r="I115" s="48">
        <f t="shared" si="51"/>
        <v>0.64</v>
      </c>
      <c r="J115" s="48">
        <f t="shared" si="52"/>
        <v>0.87</v>
      </c>
      <c r="K115" s="48">
        <f t="shared" si="53"/>
        <v>0.39</v>
      </c>
      <c r="L115" s="48">
        <f t="shared" si="54"/>
        <v>0.98</v>
      </c>
      <c r="M115" s="48">
        <f t="shared" si="55"/>
        <v>0.63</v>
      </c>
      <c r="N115" s="48">
        <f t="shared" si="56"/>
        <v>0.97</v>
      </c>
      <c r="O115" s="48">
        <f t="shared" si="57"/>
        <v>0.97</v>
      </c>
      <c r="P115" s="48">
        <f t="shared" si="58"/>
        <v>0.53</v>
      </c>
      <c r="Q115" s="48">
        <f t="shared" si="59"/>
        <v>0.35</v>
      </c>
      <c r="R115" s="48">
        <f t="shared" si="60"/>
        <v>0.32</v>
      </c>
      <c r="S115" s="48">
        <f t="shared" si="61"/>
        <v>0.15</v>
      </c>
    </row>
    <row r="116" spans="1:19" ht="16.5">
      <c r="A116" s="38">
        <v>27</v>
      </c>
      <c r="B116" s="39" t="s">
        <v>238</v>
      </c>
      <c r="C116" s="40">
        <v>5</v>
      </c>
      <c r="D116" s="41" t="s">
        <v>250</v>
      </c>
      <c r="E116" s="42">
        <v>4204</v>
      </c>
      <c r="F116" s="41" t="s">
        <v>240</v>
      </c>
      <c r="G116" s="48">
        <f t="shared" si="49"/>
        <v>0.2</v>
      </c>
      <c r="H116" s="48">
        <f t="shared" si="50"/>
        <v>0.52</v>
      </c>
      <c r="I116" s="48">
        <f t="shared" si="51"/>
        <v>0.68</v>
      </c>
      <c r="J116" s="48">
        <f t="shared" si="52"/>
        <v>0.87</v>
      </c>
      <c r="K116" s="48">
        <f t="shared" si="53"/>
        <v>0.31</v>
      </c>
      <c r="L116" s="48">
        <f t="shared" si="54"/>
        <v>0.98</v>
      </c>
      <c r="M116" s="48">
        <f t="shared" si="55"/>
        <v>0.51</v>
      </c>
      <c r="N116" s="48">
        <f t="shared" si="56"/>
        <v>0.75</v>
      </c>
      <c r="O116" s="48">
        <f t="shared" si="57"/>
        <v>0.97</v>
      </c>
      <c r="P116" s="48">
        <f t="shared" si="58"/>
        <v>0.32</v>
      </c>
      <c r="Q116" s="48">
        <f t="shared" si="59"/>
        <v>0.22</v>
      </c>
      <c r="R116" s="48">
        <f t="shared" si="60"/>
        <v>0.22</v>
      </c>
      <c r="S116" s="48">
        <f t="shared" si="61"/>
        <v>0.15</v>
      </c>
    </row>
    <row r="117" spans="1:19" ht="16.5">
      <c r="A117" s="38">
        <v>28</v>
      </c>
      <c r="B117" s="43" t="s">
        <v>238</v>
      </c>
      <c r="C117" s="40">
        <v>5</v>
      </c>
      <c r="D117" s="44" t="s">
        <v>251</v>
      </c>
      <c r="E117" s="42">
        <v>4106</v>
      </c>
      <c r="F117" s="44" t="s">
        <v>240</v>
      </c>
      <c r="G117" s="48">
        <f t="shared" si="49"/>
        <v>0.21</v>
      </c>
      <c r="H117" s="48">
        <f t="shared" si="50"/>
        <v>0.34</v>
      </c>
      <c r="I117" s="48">
        <f t="shared" si="51"/>
        <v>0.65</v>
      </c>
      <c r="J117" s="48">
        <f t="shared" si="52"/>
        <v>0.87</v>
      </c>
      <c r="K117" s="48">
        <f t="shared" si="53"/>
        <v>0.21</v>
      </c>
      <c r="L117" s="48">
        <f t="shared" si="54"/>
        <v>0.98</v>
      </c>
      <c r="M117" s="48">
        <f t="shared" si="55"/>
        <v>0.55</v>
      </c>
      <c r="N117" s="48">
        <f t="shared" si="56"/>
        <v>0.66</v>
      </c>
      <c r="O117" s="48">
        <f t="shared" si="57"/>
        <v>0.97</v>
      </c>
      <c r="P117" s="48">
        <f t="shared" si="58"/>
        <v>0.46</v>
      </c>
      <c r="Q117" s="48">
        <f t="shared" si="59"/>
        <v>0.22</v>
      </c>
      <c r="R117" s="48">
        <f t="shared" si="60"/>
        <v>0.23</v>
      </c>
      <c r="S117" s="48">
        <f t="shared" si="61"/>
        <v>0.15</v>
      </c>
    </row>
  </sheetData>
  <sheetProtection/>
  <mergeCells count="24">
    <mergeCell ref="A81:P81"/>
    <mergeCell ref="E82:E85"/>
    <mergeCell ref="F82:F85"/>
    <mergeCell ref="A101:P101"/>
    <mergeCell ref="E102:E105"/>
    <mergeCell ref="F102:F105"/>
    <mergeCell ref="G102:S102"/>
    <mergeCell ref="G82:S82"/>
    <mergeCell ref="A1:S1"/>
    <mergeCell ref="A41:P41"/>
    <mergeCell ref="E42:E45"/>
    <mergeCell ref="F42:F45"/>
    <mergeCell ref="A61:P61"/>
    <mergeCell ref="E62:E65"/>
    <mergeCell ref="F62:F65"/>
    <mergeCell ref="G62:S62"/>
    <mergeCell ref="G42:S42"/>
    <mergeCell ref="E2:E5"/>
    <mergeCell ref="F2:F5"/>
    <mergeCell ref="A21:P21"/>
    <mergeCell ref="E22:E25"/>
    <mergeCell ref="F22:F25"/>
    <mergeCell ref="G2:S2"/>
    <mergeCell ref="G22:S22"/>
  </mergeCells>
  <conditionalFormatting sqref="P4">
    <cfRule type="cellIs" priority="61" dxfId="64" operator="lessThan" stopIfTrue="1">
      <formula>0.65</formula>
    </cfRule>
  </conditionalFormatting>
  <conditionalFormatting sqref="O4">
    <cfRule type="cellIs" priority="60" dxfId="64" operator="lessThan" stopIfTrue="1">
      <formula>0.65</formula>
    </cfRule>
  </conditionalFormatting>
  <conditionalFormatting sqref="N4 I4">
    <cfRule type="cellIs" priority="59" dxfId="64" operator="lessThan" stopIfTrue="1">
      <formula>0.5</formula>
    </cfRule>
  </conditionalFormatting>
  <conditionalFormatting sqref="H4">
    <cfRule type="cellIs" priority="58" dxfId="64" operator="lessThan" stopIfTrue="1">
      <formula>0.25</formula>
    </cfRule>
  </conditionalFormatting>
  <conditionalFormatting sqref="J4">
    <cfRule type="cellIs" priority="57" dxfId="64" operator="lessThan" stopIfTrue="1">
      <formula>0.85</formula>
    </cfRule>
  </conditionalFormatting>
  <conditionalFormatting sqref="K4">
    <cfRule type="cellIs" priority="56" dxfId="64" operator="lessThan" stopIfTrue="1">
      <formula>0.05</formula>
    </cfRule>
  </conditionalFormatting>
  <conditionalFormatting sqref="L4">
    <cfRule type="cellIs" priority="55" dxfId="64" operator="lessThan" stopIfTrue="1">
      <formula>0.19</formula>
    </cfRule>
  </conditionalFormatting>
  <conditionalFormatting sqref="M4">
    <cfRule type="cellIs" priority="54" dxfId="64" operator="lessThan" stopIfTrue="1">
      <formula>0.9</formula>
    </cfRule>
  </conditionalFormatting>
  <conditionalFormatting sqref="Q4:R4">
    <cfRule type="cellIs" priority="53" dxfId="64" operator="lessThan" stopIfTrue="1">
      <formula>0.65</formula>
    </cfRule>
  </conditionalFormatting>
  <conditionalFormatting sqref="P24">
    <cfRule type="cellIs" priority="52" dxfId="64" operator="lessThan" stopIfTrue="1">
      <formula>0.65</formula>
    </cfRule>
  </conditionalFormatting>
  <conditionalFormatting sqref="O24">
    <cfRule type="cellIs" priority="51" dxfId="64" operator="lessThan" stopIfTrue="1">
      <formula>0.65</formula>
    </cfRule>
  </conditionalFormatting>
  <conditionalFormatting sqref="N24 I24">
    <cfRule type="cellIs" priority="50" dxfId="64" operator="lessThan" stopIfTrue="1">
      <formula>0.5</formula>
    </cfRule>
  </conditionalFormatting>
  <conditionalFormatting sqref="G24:H24">
    <cfRule type="cellIs" priority="49" dxfId="64" operator="lessThan" stopIfTrue="1">
      <formula>0.25</formula>
    </cfRule>
  </conditionalFormatting>
  <conditionalFormatting sqref="J24">
    <cfRule type="cellIs" priority="48" dxfId="64" operator="lessThan" stopIfTrue="1">
      <formula>0.85</formula>
    </cfRule>
  </conditionalFormatting>
  <conditionalFormatting sqref="K24">
    <cfRule type="cellIs" priority="47" dxfId="64" operator="lessThan" stopIfTrue="1">
      <formula>0.05</formula>
    </cfRule>
  </conditionalFormatting>
  <conditionalFormatting sqref="L24">
    <cfRule type="cellIs" priority="46" dxfId="64" operator="lessThan" stopIfTrue="1">
      <formula>0.19</formula>
    </cfRule>
  </conditionalFormatting>
  <conditionalFormatting sqref="M24">
    <cfRule type="cellIs" priority="45" dxfId="64" operator="lessThan" stopIfTrue="1">
      <formula>0.9</formula>
    </cfRule>
  </conditionalFormatting>
  <conditionalFormatting sqref="Q24:R24">
    <cfRule type="cellIs" priority="44" dxfId="64" operator="lessThan" stopIfTrue="1">
      <formula>0.65</formula>
    </cfRule>
  </conditionalFormatting>
  <conditionalFormatting sqref="P44">
    <cfRule type="cellIs" priority="43" dxfId="64" operator="lessThan" stopIfTrue="1">
      <formula>0.65</formula>
    </cfRule>
  </conditionalFormatting>
  <conditionalFormatting sqref="O44">
    <cfRule type="cellIs" priority="42" dxfId="64" operator="lessThan" stopIfTrue="1">
      <formula>0.65</formula>
    </cfRule>
  </conditionalFormatting>
  <conditionalFormatting sqref="N44 I44">
    <cfRule type="cellIs" priority="41" dxfId="64" operator="lessThan" stopIfTrue="1">
      <formula>0.5</formula>
    </cfRule>
  </conditionalFormatting>
  <conditionalFormatting sqref="G44:H44">
    <cfRule type="cellIs" priority="40" dxfId="64" operator="lessThan" stopIfTrue="1">
      <formula>0.25</formula>
    </cfRule>
  </conditionalFormatting>
  <conditionalFormatting sqref="J44">
    <cfRule type="cellIs" priority="39" dxfId="64" operator="lessThan" stopIfTrue="1">
      <formula>0.85</formula>
    </cfRule>
  </conditionalFormatting>
  <conditionalFormatting sqref="K44">
    <cfRule type="cellIs" priority="38" dxfId="64" operator="lessThan" stopIfTrue="1">
      <formula>0.05</formula>
    </cfRule>
  </conditionalFormatting>
  <conditionalFormatting sqref="L44">
    <cfRule type="cellIs" priority="37" dxfId="64" operator="lessThan" stopIfTrue="1">
      <formula>0.19</formula>
    </cfRule>
  </conditionalFormatting>
  <conditionalFormatting sqref="M44">
    <cfRule type="cellIs" priority="36" dxfId="64" operator="lessThan" stopIfTrue="1">
      <formula>0.9</formula>
    </cfRule>
  </conditionalFormatting>
  <conditionalFormatting sqref="Q44:R44">
    <cfRule type="cellIs" priority="35" dxfId="64" operator="lessThan" stopIfTrue="1">
      <formula>0.65</formula>
    </cfRule>
  </conditionalFormatting>
  <conditionalFormatting sqref="G4">
    <cfRule type="cellIs" priority="34" dxfId="64" operator="lessThan" stopIfTrue="1">
      <formula>0.25</formula>
    </cfRule>
  </conditionalFormatting>
  <conditionalFormatting sqref="P64">
    <cfRule type="cellIs" priority="33" dxfId="64" operator="lessThan" stopIfTrue="1">
      <formula>0.65</formula>
    </cfRule>
  </conditionalFormatting>
  <conditionalFormatting sqref="O64">
    <cfRule type="cellIs" priority="32" dxfId="64" operator="lessThan" stopIfTrue="1">
      <formula>0.65</formula>
    </cfRule>
  </conditionalFormatting>
  <conditionalFormatting sqref="N64 I64">
    <cfRule type="cellIs" priority="31" dxfId="64" operator="lessThan" stopIfTrue="1">
      <formula>0.5</formula>
    </cfRule>
  </conditionalFormatting>
  <conditionalFormatting sqref="G64:H64">
    <cfRule type="cellIs" priority="30" dxfId="64" operator="lessThan" stopIfTrue="1">
      <formula>0.25</formula>
    </cfRule>
  </conditionalFormatting>
  <conditionalFormatting sqref="J64">
    <cfRule type="cellIs" priority="29" dxfId="64" operator="lessThan" stopIfTrue="1">
      <formula>0.85</formula>
    </cfRule>
  </conditionalFormatting>
  <conditionalFormatting sqref="K64">
    <cfRule type="cellIs" priority="28" dxfId="64" operator="lessThan" stopIfTrue="1">
      <formula>0.05</formula>
    </cfRule>
  </conditionalFormatting>
  <conditionalFormatting sqref="L64">
    <cfRule type="cellIs" priority="27" dxfId="64" operator="lessThan" stopIfTrue="1">
      <formula>0.19</formula>
    </cfRule>
  </conditionalFormatting>
  <conditionalFormatting sqref="M64">
    <cfRule type="cellIs" priority="26" dxfId="64" operator="lessThan" stopIfTrue="1">
      <formula>0.9</formula>
    </cfRule>
  </conditionalFormatting>
  <conditionalFormatting sqref="Q64:R64">
    <cfRule type="cellIs" priority="25" dxfId="64" operator="lessThan" stopIfTrue="1">
      <formula>0.65</formula>
    </cfRule>
  </conditionalFormatting>
  <conditionalFormatting sqref="P84">
    <cfRule type="cellIs" priority="24" dxfId="64" operator="lessThan" stopIfTrue="1">
      <formula>0.65</formula>
    </cfRule>
  </conditionalFormatting>
  <conditionalFormatting sqref="O84">
    <cfRule type="cellIs" priority="23" dxfId="64" operator="lessThan" stopIfTrue="1">
      <formula>0.65</formula>
    </cfRule>
  </conditionalFormatting>
  <conditionalFormatting sqref="N84 I84">
    <cfRule type="cellIs" priority="22" dxfId="64" operator="lessThan" stopIfTrue="1">
      <formula>0.5</formula>
    </cfRule>
  </conditionalFormatting>
  <conditionalFormatting sqref="G84:H84">
    <cfRule type="cellIs" priority="21" dxfId="64" operator="lessThan" stopIfTrue="1">
      <formula>0.25</formula>
    </cfRule>
  </conditionalFormatting>
  <conditionalFormatting sqref="J84">
    <cfRule type="cellIs" priority="20" dxfId="64" operator="lessThan" stopIfTrue="1">
      <formula>0.85</formula>
    </cfRule>
  </conditionalFormatting>
  <conditionalFormatting sqref="K84">
    <cfRule type="cellIs" priority="19" dxfId="64" operator="lessThan" stopIfTrue="1">
      <formula>0.05</formula>
    </cfRule>
  </conditionalFormatting>
  <conditionalFormatting sqref="L84">
    <cfRule type="cellIs" priority="18" dxfId="64" operator="lessThan" stopIfTrue="1">
      <formula>0.19</formula>
    </cfRule>
  </conditionalFormatting>
  <conditionalFormatting sqref="M84">
    <cfRule type="cellIs" priority="17" dxfId="64" operator="lessThan" stopIfTrue="1">
      <formula>0.9</formula>
    </cfRule>
  </conditionalFormatting>
  <conditionalFormatting sqref="Q84:R84">
    <cfRule type="cellIs" priority="16" dxfId="64" operator="lessThan" stopIfTrue="1">
      <formula>0.65</formula>
    </cfRule>
  </conditionalFormatting>
  <conditionalFormatting sqref="P104">
    <cfRule type="cellIs" priority="15" dxfId="64" operator="lessThan" stopIfTrue="1">
      <formula>0.65</formula>
    </cfRule>
  </conditionalFormatting>
  <conditionalFormatting sqref="O104">
    <cfRule type="cellIs" priority="14" dxfId="64" operator="lessThan" stopIfTrue="1">
      <formula>0.65</formula>
    </cfRule>
  </conditionalFormatting>
  <conditionalFormatting sqref="N104 I104">
    <cfRule type="cellIs" priority="13" dxfId="64" operator="lessThan" stopIfTrue="1">
      <formula>0.5</formula>
    </cfRule>
  </conditionalFormatting>
  <conditionalFormatting sqref="G104:H104">
    <cfRule type="cellIs" priority="12" dxfId="64" operator="lessThan" stopIfTrue="1">
      <formula>0.25</formula>
    </cfRule>
  </conditionalFormatting>
  <conditionalFormatting sqref="J104">
    <cfRule type="cellIs" priority="11" dxfId="64" operator="lessThan" stopIfTrue="1">
      <formula>0.85</formula>
    </cfRule>
  </conditionalFormatting>
  <conditionalFormatting sqref="K104">
    <cfRule type="cellIs" priority="10" dxfId="64" operator="lessThan" stopIfTrue="1">
      <formula>0.05</formula>
    </cfRule>
  </conditionalFormatting>
  <conditionalFormatting sqref="L104">
    <cfRule type="cellIs" priority="9" dxfId="64" operator="lessThan" stopIfTrue="1">
      <formula>0.19</formula>
    </cfRule>
  </conditionalFormatting>
  <conditionalFormatting sqref="M104">
    <cfRule type="cellIs" priority="8" dxfId="64" operator="lessThan" stopIfTrue="1">
      <formula>0.9</formula>
    </cfRule>
  </conditionalFormatting>
  <conditionalFormatting sqref="Q104:R104">
    <cfRule type="cellIs" priority="7" dxfId="64" operator="lessThan" stopIfTrue="1">
      <formula>0.65</formula>
    </cfRule>
  </conditionalFormatting>
  <conditionalFormatting sqref="S4">
    <cfRule type="cellIs" priority="6" dxfId="64" operator="lessThan" stopIfTrue="1">
      <formula>0.65</formula>
    </cfRule>
  </conditionalFormatting>
  <conditionalFormatting sqref="S24">
    <cfRule type="cellIs" priority="5" dxfId="64" operator="lessThan" stopIfTrue="1">
      <formula>0.65</formula>
    </cfRule>
  </conditionalFormatting>
  <conditionalFormatting sqref="S44">
    <cfRule type="cellIs" priority="4" dxfId="64" operator="lessThan" stopIfTrue="1">
      <formula>0.65</formula>
    </cfRule>
  </conditionalFormatting>
  <conditionalFormatting sqref="S64">
    <cfRule type="cellIs" priority="3" dxfId="64" operator="lessThan" stopIfTrue="1">
      <formula>0.65</formula>
    </cfRule>
  </conditionalFormatting>
  <conditionalFormatting sqref="S84">
    <cfRule type="cellIs" priority="2" dxfId="64" operator="lessThan" stopIfTrue="1">
      <formula>0.65</formula>
    </cfRule>
  </conditionalFormatting>
  <conditionalFormatting sqref="S104">
    <cfRule type="cellIs" priority="1" dxfId="64" operator="lessThan" stopIfTrue="1">
      <formula>0.65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50"/>
  <sheetViews>
    <sheetView zoomScale="80" zoomScaleNormal="8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11.421875" defaultRowHeight="15"/>
  <cols>
    <col min="1" max="1" width="31.57421875" style="62" bestFit="1" customWidth="1"/>
    <col min="2" max="2" width="50.28125" style="110" bestFit="1" customWidth="1"/>
    <col min="3" max="3" width="14.421875" style="62" customWidth="1"/>
    <col min="4" max="4" width="11.421875" style="62" bestFit="1" customWidth="1"/>
    <col min="5" max="5" width="7.28125" style="62" customWidth="1"/>
    <col min="6" max="6" width="9.28125" style="62" customWidth="1"/>
    <col min="7" max="11" width="7.28125" style="62" customWidth="1"/>
    <col min="12" max="12" width="8.8515625" style="62" customWidth="1"/>
    <col min="13" max="14" width="9.140625" style="62" customWidth="1"/>
    <col min="15" max="15" width="9.28125" style="62" customWidth="1"/>
    <col min="16" max="16" width="7.28125" style="62" customWidth="1"/>
    <col min="17" max="17" width="8.7109375" style="62" bestFit="1" customWidth="1"/>
    <col min="18" max="18" width="22.7109375" style="62" customWidth="1"/>
    <col min="19" max="24" width="9.7109375" style="62" bestFit="1" customWidth="1"/>
    <col min="25" max="25" width="14.140625" style="62" customWidth="1"/>
    <col min="26" max="26" width="6.421875" style="62" customWidth="1"/>
    <col min="27" max="27" width="8.28125" style="62" customWidth="1"/>
    <col min="28" max="28" width="7.8515625" style="62" customWidth="1"/>
    <col min="29" max="29" width="6.421875" style="62" customWidth="1"/>
    <col min="30" max="30" width="6.140625" style="62" bestFit="1" customWidth="1"/>
    <col min="31" max="31" width="6.421875" style="62" bestFit="1" customWidth="1"/>
    <col min="32" max="32" width="6.28125" style="62" customWidth="1"/>
    <col min="33" max="33" width="9.28125" style="62" customWidth="1"/>
    <col min="34" max="34" width="7.57421875" style="62" customWidth="1"/>
    <col min="35" max="35" width="8.7109375" style="62" customWidth="1"/>
    <col min="36" max="36" width="8.00390625" style="62" customWidth="1"/>
    <col min="37" max="37" width="7.140625" style="62" bestFit="1" customWidth="1"/>
    <col min="38" max="38" width="8.57421875" style="62" bestFit="1" customWidth="1"/>
    <col min="39" max="39" width="7.140625" style="62" bestFit="1" customWidth="1"/>
    <col min="40" max="40" width="8.7109375" style="62" customWidth="1"/>
    <col min="41" max="41" width="8.140625" style="62" customWidth="1"/>
    <col min="42" max="43" width="7.140625" style="62" bestFit="1" customWidth="1"/>
    <col min="44" max="44" width="7.57421875" style="62" bestFit="1" customWidth="1"/>
    <col min="45" max="45" width="7.140625" style="62" bestFit="1" customWidth="1"/>
    <col min="46" max="46" width="8.421875" style="62" customWidth="1"/>
    <col min="47" max="47" width="7.421875" style="62" customWidth="1"/>
    <col min="48" max="48" width="8.00390625" style="62" customWidth="1"/>
    <col min="49" max="49" width="7.57421875" style="62" customWidth="1"/>
    <col min="50" max="50" width="7.140625" style="62" bestFit="1" customWidth="1"/>
    <col min="51" max="51" width="8.57421875" style="62" bestFit="1" customWidth="1"/>
    <col min="52" max="16384" width="11.421875" style="62" customWidth="1"/>
  </cols>
  <sheetData>
    <row r="1" spans="1:51" s="137" customFormat="1" ht="73.5" customHeight="1" thickBot="1" thickTop="1">
      <c r="A1" s="204" t="s">
        <v>0</v>
      </c>
      <c r="B1" s="207" t="s">
        <v>1</v>
      </c>
      <c r="C1" s="198" t="s">
        <v>217</v>
      </c>
      <c r="D1" s="219" t="s">
        <v>213</v>
      </c>
      <c r="E1" s="218" t="s">
        <v>2</v>
      </c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</row>
    <row r="2" spans="1:51" s="137" customFormat="1" ht="15" customHeight="1">
      <c r="A2" s="205"/>
      <c r="B2" s="208"/>
      <c r="C2" s="199"/>
      <c r="D2" s="220"/>
      <c r="E2" s="209" t="s">
        <v>3</v>
      </c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12" t="s">
        <v>4</v>
      </c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13"/>
    </row>
    <row r="3" spans="1:51" s="137" customFormat="1" ht="15" customHeight="1">
      <c r="A3" s="205"/>
      <c r="B3" s="208"/>
      <c r="C3" s="199"/>
      <c r="D3" s="22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4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5"/>
    </row>
    <row r="4" spans="1:51" s="137" customFormat="1" ht="15" customHeight="1">
      <c r="A4" s="205"/>
      <c r="B4" s="208"/>
      <c r="C4" s="199"/>
      <c r="D4" s="22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4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5"/>
    </row>
    <row r="5" spans="1:51" s="137" customFormat="1" ht="15" customHeight="1">
      <c r="A5" s="205"/>
      <c r="B5" s="208"/>
      <c r="C5" s="199"/>
      <c r="D5" s="22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4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5"/>
    </row>
    <row r="6" spans="1:51" s="137" customFormat="1" ht="15" customHeight="1">
      <c r="A6" s="205"/>
      <c r="B6" s="208"/>
      <c r="C6" s="199"/>
      <c r="D6" s="22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4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5"/>
    </row>
    <row r="7" spans="1:51" s="137" customFormat="1" ht="15" customHeight="1">
      <c r="A7" s="205"/>
      <c r="B7" s="208"/>
      <c r="C7" s="199"/>
      <c r="D7" s="22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4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5"/>
    </row>
    <row r="8" spans="1:51" s="137" customFormat="1" ht="15" customHeight="1">
      <c r="A8" s="205"/>
      <c r="B8" s="208"/>
      <c r="C8" s="199"/>
      <c r="D8" s="22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4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5"/>
    </row>
    <row r="9" spans="1:51" s="137" customFormat="1" ht="15.75" customHeight="1" thickBot="1">
      <c r="A9" s="205"/>
      <c r="B9" s="208"/>
      <c r="C9" s="199"/>
      <c r="D9" s="220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6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7"/>
    </row>
    <row r="10" spans="1:51" s="137" customFormat="1" ht="57.75" customHeight="1" thickBot="1">
      <c r="A10" s="206"/>
      <c r="B10" s="201"/>
      <c r="C10" s="199"/>
      <c r="D10" s="221"/>
      <c r="E10" s="202" t="s">
        <v>5</v>
      </c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3"/>
      <c r="R10" s="138" t="s">
        <v>8</v>
      </c>
      <c r="S10" s="201" t="s">
        <v>6</v>
      </c>
      <c r="T10" s="202"/>
      <c r="U10" s="202"/>
      <c r="V10" s="202"/>
      <c r="W10" s="202"/>
      <c r="X10" s="203"/>
      <c r="Y10" s="139" t="s">
        <v>7</v>
      </c>
      <c r="Z10" s="201" t="s">
        <v>24</v>
      </c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1" t="s">
        <v>25</v>
      </c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3"/>
    </row>
    <row r="11" spans="1:51" s="137" customFormat="1" ht="22.5" thickBot="1">
      <c r="A11" s="140"/>
      <c r="B11" s="147"/>
      <c r="C11" s="200"/>
      <c r="D11" s="142" t="s">
        <v>214</v>
      </c>
      <c r="E11" s="140" t="s">
        <v>9</v>
      </c>
      <c r="F11" s="140" t="s">
        <v>10</v>
      </c>
      <c r="G11" s="140" t="s">
        <v>11</v>
      </c>
      <c r="H11" s="140" t="s">
        <v>12</v>
      </c>
      <c r="I11" s="140" t="s">
        <v>13</v>
      </c>
      <c r="J11" s="140" t="s">
        <v>14</v>
      </c>
      <c r="K11" s="140" t="s">
        <v>15</v>
      </c>
      <c r="L11" s="140" t="s">
        <v>16</v>
      </c>
      <c r="M11" s="140" t="s">
        <v>17</v>
      </c>
      <c r="N11" s="140" t="s">
        <v>18</v>
      </c>
      <c r="O11" s="140" t="s">
        <v>19</v>
      </c>
      <c r="P11" s="140" t="s">
        <v>20</v>
      </c>
      <c r="Q11" s="140" t="s">
        <v>21</v>
      </c>
      <c r="R11" s="143"/>
      <c r="S11" s="140" t="s">
        <v>292</v>
      </c>
      <c r="T11" s="141" t="s">
        <v>274</v>
      </c>
      <c r="U11" s="141" t="s">
        <v>22</v>
      </c>
      <c r="V11" s="141" t="s">
        <v>26</v>
      </c>
      <c r="W11" s="141" t="s">
        <v>28</v>
      </c>
      <c r="X11" s="141" t="s">
        <v>27</v>
      </c>
      <c r="Y11" s="143" t="s">
        <v>310</v>
      </c>
      <c r="Z11" s="140" t="s">
        <v>9</v>
      </c>
      <c r="AA11" s="140" t="s">
        <v>10</v>
      </c>
      <c r="AB11" s="140" t="s">
        <v>11</v>
      </c>
      <c r="AC11" s="140" t="s">
        <v>12</v>
      </c>
      <c r="AD11" s="140" t="s">
        <v>13</v>
      </c>
      <c r="AE11" s="140" t="s">
        <v>14</v>
      </c>
      <c r="AF11" s="140" t="s">
        <v>15</v>
      </c>
      <c r="AG11" s="140" t="s">
        <v>16</v>
      </c>
      <c r="AH11" s="140" t="s">
        <v>17</v>
      </c>
      <c r="AI11" s="140" t="s">
        <v>18</v>
      </c>
      <c r="AJ11" s="140" t="s">
        <v>19</v>
      </c>
      <c r="AK11" s="140" t="s">
        <v>20</v>
      </c>
      <c r="AL11" s="140" t="s">
        <v>21</v>
      </c>
      <c r="AM11" s="140" t="s">
        <v>9</v>
      </c>
      <c r="AN11" s="140" t="s">
        <v>10</v>
      </c>
      <c r="AO11" s="140" t="s">
        <v>11</v>
      </c>
      <c r="AP11" s="140" t="s">
        <v>12</v>
      </c>
      <c r="AQ11" s="140" t="s">
        <v>13</v>
      </c>
      <c r="AR11" s="140" t="s">
        <v>14</v>
      </c>
      <c r="AS11" s="140" t="s">
        <v>15</v>
      </c>
      <c r="AT11" s="140" t="s">
        <v>16</v>
      </c>
      <c r="AU11" s="140" t="s">
        <v>17</v>
      </c>
      <c r="AV11" s="140" t="s">
        <v>18</v>
      </c>
      <c r="AW11" s="140" t="s">
        <v>19</v>
      </c>
      <c r="AX11" s="140" t="s">
        <v>20</v>
      </c>
      <c r="AY11" s="140" t="s">
        <v>21</v>
      </c>
    </row>
    <row r="12" spans="1:51" s="65" customFormat="1" ht="15" thickBot="1">
      <c r="A12" s="1" t="s">
        <v>78</v>
      </c>
      <c r="B12" s="103" t="s">
        <v>65</v>
      </c>
      <c r="C12" s="63"/>
      <c r="D12" s="103"/>
      <c r="E12" s="101">
        <v>2</v>
      </c>
      <c r="F12" s="101">
        <v>9</v>
      </c>
      <c r="G12" s="101"/>
      <c r="H12" s="101"/>
      <c r="I12" s="101"/>
      <c r="J12" s="101"/>
      <c r="K12" s="101"/>
      <c r="L12" s="101"/>
      <c r="M12" s="101"/>
      <c r="N12" s="101"/>
      <c r="O12" s="100"/>
      <c r="P12" s="2"/>
      <c r="Q12" s="6">
        <f>SUM(E12:P12)</f>
        <v>11</v>
      </c>
      <c r="R12" s="4"/>
      <c r="S12" s="6">
        <v>58</v>
      </c>
      <c r="T12" s="9">
        <f>+S12+(Z12+AA12+AB12)-(AM12+AN12+AO12)</f>
        <v>58</v>
      </c>
      <c r="U12" s="6"/>
      <c r="V12" s="3">
        <f aca="true" t="shared" si="0" ref="V12:V24">+U12+(AF12+AG12)-(AS12+AT12)</f>
        <v>0</v>
      </c>
      <c r="W12" s="3">
        <f aca="true" t="shared" si="1" ref="W12:W24">+U12+(AF12+AG12+AH12+AI12)-(AS12+AT12+AU12+AV12)</f>
        <v>0</v>
      </c>
      <c r="X12" s="7"/>
      <c r="Y12" s="12"/>
      <c r="Z12" s="100">
        <v>0</v>
      </c>
      <c r="AA12" s="100">
        <v>0</v>
      </c>
      <c r="AB12" s="100"/>
      <c r="AC12" s="100"/>
      <c r="AD12" s="100"/>
      <c r="AE12" s="100"/>
      <c r="AF12" s="100"/>
      <c r="AG12" s="100"/>
      <c r="AH12" s="100"/>
      <c r="AI12" s="100"/>
      <c r="AJ12" s="100"/>
      <c r="AK12" s="2"/>
      <c r="AL12" s="6">
        <f>SUM(Z12:AK12)</f>
        <v>0</v>
      </c>
      <c r="AM12" s="99">
        <v>0</v>
      </c>
      <c r="AN12" s="99">
        <v>0</v>
      </c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6">
        <f>SUM(AM12:AX12)</f>
        <v>0</v>
      </c>
    </row>
    <row r="13" spans="1:51" s="65" customFormat="1" ht="15" thickBot="1">
      <c r="A13" s="1" t="s">
        <v>78</v>
      </c>
      <c r="B13" s="103" t="s">
        <v>66</v>
      </c>
      <c r="C13" s="63"/>
      <c r="D13" s="103"/>
      <c r="E13" s="101">
        <v>7</v>
      </c>
      <c r="F13" s="101">
        <v>17</v>
      </c>
      <c r="G13" s="101"/>
      <c r="H13" s="101"/>
      <c r="I13" s="101"/>
      <c r="J13" s="101"/>
      <c r="K13" s="101"/>
      <c r="L13" s="101"/>
      <c r="M13" s="101"/>
      <c r="N13" s="101"/>
      <c r="O13" s="100"/>
      <c r="P13" s="2"/>
      <c r="Q13" s="6">
        <f aca="true" t="shared" si="2" ref="Q13:Q24">SUM(E13:P13)</f>
        <v>24</v>
      </c>
      <c r="R13" s="4"/>
      <c r="S13" s="6">
        <v>38</v>
      </c>
      <c r="T13" s="9">
        <f aca="true" t="shared" si="3" ref="T13:T24">+S13+(Z13+AA13+AB13)-(AM13+AN13+AO13)</f>
        <v>45</v>
      </c>
      <c r="U13" s="6"/>
      <c r="V13" s="3">
        <f t="shared" si="0"/>
        <v>0</v>
      </c>
      <c r="W13" s="3">
        <f t="shared" si="1"/>
        <v>0</v>
      </c>
      <c r="X13" s="7"/>
      <c r="Y13" s="12"/>
      <c r="Z13" s="100">
        <v>3</v>
      </c>
      <c r="AA13" s="100">
        <v>7</v>
      </c>
      <c r="AB13" s="100"/>
      <c r="AC13" s="100"/>
      <c r="AD13" s="100"/>
      <c r="AE13" s="100"/>
      <c r="AF13" s="100"/>
      <c r="AG13" s="100"/>
      <c r="AH13" s="100"/>
      <c r="AI13" s="100"/>
      <c r="AJ13" s="100"/>
      <c r="AK13" s="2"/>
      <c r="AL13" s="6">
        <f aca="true" t="shared" si="4" ref="AL13:AL24">SUM(Z13:AK13)</f>
        <v>10</v>
      </c>
      <c r="AM13" s="99">
        <v>0</v>
      </c>
      <c r="AN13" s="99">
        <v>3</v>
      </c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6">
        <f aca="true" t="shared" si="5" ref="AY13:AY75">SUM(AM13:AX13)</f>
        <v>3</v>
      </c>
    </row>
    <row r="14" spans="1:51" s="65" customFormat="1" ht="15" thickBot="1">
      <c r="A14" s="1" t="s">
        <v>78</v>
      </c>
      <c r="B14" s="103" t="s">
        <v>67</v>
      </c>
      <c r="C14" s="63"/>
      <c r="D14" s="103"/>
      <c r="E14" s="101">
        <v>11</v>
      </c>
      <c r="F14" s="101">
        <v>22</v>
      </c>
      <c r="G14" s="101"/>
      <c r="H14" s="101"/>
      <c r="I14" s="101"/>
      <c r="J14" s="101"/>
      <c r="K14" s="101"/>
      <c r="L14" s="101"/>
      <c r="M14" s="101"/>
      <c r="N14" s="101"/>
      <c r="O14" s="100"/>
      <c r="P14" s="2"/>
      <c r="Q14" s="6">
        <f t="shared" si="2"/>
        <v>33</v>
      </c>
      <c r="R14" s="4"/>
      <c r="S14" s="6">
        <v>85</v>
      </c>
      <c r="T14" s="9">
        <f t="shared" si="3"/>
        <v>88</v>
      </c>
      <c r="U14" s="6"/>
      <c r="V14" s="3">
        <f t="shared" si="0"/>
        <v>0</v>
      </c>
      <c r="W14" s="3">
        <f t="shared" si="1"/>
        <v>0</v>
      </c>
      <c r="X14" s="7"/>
      <c r="Y14" s="12"/>
      <c r="Z14" s="100">
        <v>0</v>
      </c>
      <c r="AA14" s="100">
        <v>3</v>
      </c>
      <c r="AB14" s="100"/>
      <c r="AC14" s="100"/>
      <c r="AD14" s="100"/>
      <c r="AE14" s="100"/>
      <c r="AF14" s="100"/>
      <c r="AG14" s="100"/>
      <c r="AH14" s="100"/>
      <c r="AI14" s="100"/>
      <c r="AJ14" s="100"/>
      <c r="AK14" s="2"/>
      <c r="AL14" s="6">
        <f t="shared" si="4"/>
        <v>3</v>
      </c>
      <c r="AM14" s="99">
        <v>0</v>
      </c>
      <c r="AN14" s="99">
        <v>0</v>
      </c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6">
        <f t="shared" si="5"/>
        <v>0</v>
      </c>
    </row>
    <row r="15" spans="1:51" s="65" customFormat="1" ht="15" thickBot="1">
      <c r="A15" s="1" t="s">
        <v>78</v>
      </c>
      <c r="B15" s="103" t="s">
        <v>68</v>
      </c>
      <c r="C15" s="63"/>
      <c r="D15" s="103"/>
      <c r="E15" s="101">
        <v>5</v>
      </c>
      <c r="F15" s="101">
        <v>83</v>
      </c>
      <c r="G15" s="101"/>
      <c r="H15" s="101"/>
      <c r="I15" s="101"/>
      <c r="J15" s="101"/>
      <c r="K15" s="101"/>
      <c r="L15" s="101"/>
      <c r="M15" s="101"/>
      <c r="N15" s="101"/>
      <c r="O15" s="100"/>
      <c r="P15" s="2"/>
      <c r="Q15" s="6">
        <f t="shared" si="2"/>
        <v>88</v>
      </c>
      <c r="R15" s="4"/>
      <c r="S15" s="6">
        <v>54</v>
      </c>
      <c r="T15" s="9">
        <f t="shared" si="3"/>
        <v>62</v>
      </c>
      <c r="U15" s="6"/>
      <c r="V15" s="3">
        <f t="shared" si="0"/>
        <v>0</v>
      </c>
      <c r="W15" s="3">
        <f t="shared" si="1"/>
        <v>0</v>
      </c>
      <c r="X15" s="7"/>
      <c r="Y15" s="12"/>
      <c r="Z15" s="100"/>
      <c r="AA15" s="100">
        <v>8</v>
      </c>
      <c r="AB15" s="100"/>
      <c r="AC15" s="100"/>
      <c r="AD15" s="100"/>
      <c r="AE15" s="100"/>
      <c r="AF15" s="100"/>
      <c r="AG15" s="100"/>
      <c r="AH15" s="100"/>
      <c r="AI15" s="100"/>
      <c r="AJ15" s="100"/>
      <c r="AK15" s="2"/>
      <c r="AL15" s="6">
        <f t="shared" si="4"/>
        <v>8</v>
      </c>
      <c r="AM15" s="116"/>
      <c r="AN15" s="116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6">
        <f t="shared" si="5"/>
        <v>0</v>
      </c>
    </row>
    <row r="16" spans="1:51" s="65" customFormat="1" ht="15" thickBot="1">
      <c r="A16" s="1" t="s">
        <v>78</v>
      </c>
      <c r="B16" s="146" t="s">
        <v>69</v>
      </c>
      <c r="C16" s="66"/>
      <c r="D16" s="103"/>
      <c r="E16" s="101">
        <v>19</v>
      </c>
      <c r="F16" s="101">
        <v>3</v>
      </c>
      <c r="G16" s="101"/>
      <c r="H16" s="101"/>
      <c r="I16" s="101"/>
      <c r="J16" s="101"/>
      <c r="K16" s="101"/>
      <c r="L16" s="101"/>
      <c r="M16" s="101"/>
      <c r="N16" s="101"/>
      <c r="O16" s="100"/>
      <c r="P16" s="2"/>
      <c r="Q16" s="6">
        <f t="shared" si="2"/>
        <v>22</v>
      </c>
      <c r="R16" s="4"/>
      <c r="S16" s="6">
        <v>89</v>
      </c>
      <c r="T16" s="9">
        <f t="shared" si="3"/>
        <v>90</v>
      </c>
      <c r="U16" s="6"/>
      <c r="V16" s="3">
        <f t="shared" si="0"/>
        <v>0</v>
      </c>
      <c r="W16" s="3">
        <f t="shared" si="1"/>
        <v>0</v>
      </c>
      <c r="X16" s="7"/>
      <c r="Y16" s="12"/>
      <c r="Z16" s="100">
        <v>0</v>
      </c>
      <c r="AA16" s="100">
        <v>1</v>
      </c>
      <c r="AB16" s="100"/>
      <c r="AC16" s="100"/>
      <c r="AD16" s="100"/>
      <c r="AE16" s="100"/>
      <c r="AF16" s="100"/>
      <c r="AG16" s="100"/>
      <c r="AH16" s="100"/>
      <c r="AI16" s="100"/>
      <c r="AJ16" s="100"/>
      <c r="AK16" s="2"/>
      <c r="AL16" s="6">
        <f t="shared" si="4"/>
        <v>1</v>
      </c>
      <c r="AM16" s="99">
        <v>0</v>
      </c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6">
        <f t="shared" si="5"/>
        <v>0</v>
      </c>
    </row>
    <row r="17" spans="1:51" s="65" customFormat="1" ht="15" thickBot="1">
      <c r="A17" s="1" t="s">
        <v>78</v>
      </c>
      <c r="B17" s="103" t="s">
        <v>70</v>
      </c>
      <c r="C17" s="63"/>
      <c r="D17" s="103"/>
      <c r="E17" s="101">
        <v>7</v>
      </c>
      <c r="F17" s="101">
        <v>4</v>
      </c>
      <c r="G17" s="101"/>
      <c r="H17" s="101"/>
      <c r="I17" s="101"/>
      <c r="J17" s="101"/>
      <c r="K17" s="101"/>
      <c r="L17" s="101"/>
      <c r="M17" s="101"/>
      <c r="N17" s="101"/>
      <c r="O17" s="100"/>
      <c r="P17" s="2"/>
      <c r="Q17" s="6">
        <f t="shared" si="2"/>
        <v>11</v>
      </c>
      <c r="R17" s="4"/>
      <c r="S17" s="6">
        <v>60</v>
      </c>
      <c r="T17" s="9">
        <f t="shared" si="3"/>
        <v>58</v>
      </c>
      <c r="U17" s="6"/>
      <c r="V17" s="3">
        <f t="shared" si="0"/>
        <v>0</v>
      </c>
      <c r="W17" s="3">
        <f t="shared" si="1"/>
        <v>0</v>
      </c>
      <c r="X17" s="7"/>
      <c r="Y17" s="12"/>
      <c r="Z17" s="100"/>
      <c r="AA17" s="100">
        <v>0</v>
      </c>
      <c r="AB17" s="100"/>
      <c r="AC17" s="100"/>
      <c r="AD17" s="100"/>
      <c r="AE17" s="100"/>
      <c r="AF17" s="100"/>
      <c r="AG17" s="100"/>
      <c r="AH17" s="100"/>
      <c r="AI17" s="100"/>
      <c r="AJ17" s="100"/>
      <c r="AK17" s="2"/>
      <c r="AL17" s="6">
        <f t="shared" si="4"/>
        <v>0</v>
      </c>
      <c r="AM17" s="99"/>
      <c r="AN17" s="99">
        <v>2</v>
      </c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6">
        <f>SUM(AM17:AX17)</f>
        <v>2</v>
      </c>
    </row>
    <row r="18" spans="1:51" s="65" customFormat="1" ht="15" thickBot="1">
      <c r="A18" s="1" t="s">
        <v>78</v>
      </c>
      <c r="B18" s="103" t="s">
        <v>71</v>
      </c>
      <c r="C18" s="63"/>
      <c r="D18" s="103"/>
      <c r="E18" s="101">
        <v>0</v>
      </c>
      <c r="F18" s="101">
        <v>0</v>
      </c>
      <c r="G18" s="101"/>
      <c r="H18" s="101"/>
      <c r="I18" s="101"/>
      <c r="J18" s="101"/>
      <c r="K18" s="101"/>
      <c r="L18" s="101"/>
      <c r="M18" s="101"/>
      <c r="N18" s="101"/>
      <c r="O18" s="100"/>
      <c r="P18" s="2"/>
      <c r="Q18" s="6">
        <f t="shared" si="2"/>
        <v>0</v>
      </c>
      <c r="R18" s="4"/>
      <c r="S18" s="6">
        <v>20</v>
      </c>
      <c r="T18" s="9">
        <f t="shared" si="3"/>
        <v>21</v>
      </c>
      <c r="U18" s="6"/>
      <c r="V18" s="3">
        <f t="shared" si="0"/>
        <v>0</v>
      </c>
      <c r="W18" s="3">
        <f t="shared" si="1"/>
        <v>0</v>
      </c>
      <c r="X18" s="7"/>
      <c r="Y18" s="12"/>
      <c r="Z18" s="100">
        <v>0</v>
      </c>
      <c r="AA18" s="100">
        <v>1</v>
      </c>
      <c r="AB18" s="100"/>
      <c r="AC18" s="100"/>
      <c r="AD18" s="100"/>
      <c r="AE18" s="100"/>
      <c r="AF18" s="100"/>
      <c r="AG18" s="100"/>
      <c r="AH18" s="100"/>
      <c r="AI18" s="100"/>
      <c r="AJ18" s="100"/>
      <c r="AK18" s="2"/>
      <c r="AL18" s="6">
        <f t="shared" si="4"/>
        <v>1</v>
      </c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6">
        <f t="shared" si="5"/>
        <v>0</v>
      </c>
    </row>
    <row r="19" spans="1:51" s="65" customFormat="1" ht="15" thickBot="1">
      <c r="A19" s="1" t="s">
        <v>78</v>
      </c>
      <c r="B19" s="103" t="s">
        <v>72</v>
      </c>
      <c r="C19" s="63"/>
      <c r="D19" s="103"/>
      <c r="E19" s="101">
        <v>2</v>
      </c>
      <c r="F19" s="101">
        <v>0</v>
      </c>
      <c r="G19" s="101"/>
      <c r="H19" s="101"/>
      <c r="I19" s="101"/>
      <c r="J19" s="101"/>
      <c r="K19" s="101"/>
      <c r="L19" s="101"/>
      <c r="M19" s="101"/>
      <c r="N19" s="101"/>
      <c r="O19" s="100"/>
      <c r="P19" s="2"/>
      <c r="Q19" s="6">
        <f t="shared" si="2"/>
        <v>2</v>
      </c>
      <c r="R19" s="18"/>
      <c r="S19" s="6">
        <v>4</v>
      </c>
      <c r="T19" s="9">
        <f t="shared" si="3"/>
        <v>4</v>
      </c>
      <c r="U19" s="6"/>
      <c r="V19" s="3">
        <f t="shared" si="0"/>
        <v>0</v>
      </c>
      <c r="W19" s="3">
        <f t="shared" si="1"/>
        <v>0</v>
      </c>
      <c r="X19" s="7"/>
      <c r="Y19" s="12"/>
      <c r="Z19" s="100"/>
      <c r="AA19" s="100">
        <v>0</v>
      </c>
      <c r="AB19" s="100"/>
      <c r="AC19" s="100"/>
      <c r="AD19" s="100"/>
      <c r="AE19" s="100"/>
      <c r="AF19" s="100"/>
      <c r="AG19" s="100"/>
      <c r="AH19" s="100"/>
      <c r="AI19" s="100"/>
      <c r="AJ19" s="100"/>
      <c r="AK19" s="2"/>
      <c r="AL19" s="6">
        <f t="shared" si="4"/>
        <v>0</v>
      </c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6">
        <f t="shared" si="5"/>
        <v>0</v>
      </c>
    </row>
    <row r="20" spans="1:51" s="65" customFormat="1" ht="15" thickBot="1">
      <c r="A20" s="1" t="s">
        <v>78</v>
      </c>
      <c r="B20" s="103" t="s">
        <v>73</v>
      </c>
      <c r="C20" s="63"/>
      <c r="D20" s="103"/>
      <c r="E20" s="101">
        <v>0</v>
      </c>
      <c r="F20" s="101">
        <v>2</v>
      </c>
      <c r="G20" s="101"/>
      <c r="H20" s="101"/>
      <c r="I20" s="101"/>
      <c r="J20" s="101"/>
      <c r="K20" s="101"/>
      <c r="L20" s="101"/>
      <c r="M20" s="101"/>
      <c r="N20" s="101"/>
      <c r="O20" s="100"/>
      <c r="P20" s="2"/>
      <c r="Q20" s="6">
        <f t="shared" si="2"/>
        <v>2</v>
      </c>
      <c r="R20" s="4"/>
      <c r="S20" s="6">
        <v>6</v>
      </c>
      <c r="T20" s="9">
        <f t="shared" si="3"/>
        <v>6</v>
      </c>
      <c r="U20" s="6"/>
      <c r="V20" s="3">
        <f t="shared" si="0"/>
        <v>0</v>
      </c>
      <c r="W20" s="3">
        <f t="shared" si="1"/>
        <v>0</v>
      </c>
      <c r="X20" s="7"/>
      <c r="Y20" s="12"/>
      <c r="Z20" s="100">
        <v>0</v>
      </c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2"/>
      <c r="AL20" s="6">
        <f t="shared" si="4"/>
        <v>0</v>
      </c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6">
        <f t="shared" si="5"/>
        <v>0</v>
      </c>
    </row>
    <row r="21" spans="1:51" s="65" customFormat="1" ht="15" thickBot="1">
      <c r="A21" s="1" t="s">
        <v>78</v>
      </c>
      <c r="B21" s="103" t="s">
        <v>74</v>
      </c>
      <c r="C21" s="67"/>
      <c r="D21" s="103"/>
      <c r="E21" s="101">
        <v>0</v>
      </c>
      <c r="F21" s="101">
        <v>0</v>
      </c>
      <c r="G21" s="101"/>
      <c r="H21" s="101"/>
      <c r="I21" s="101"/>
      <c r="J21" s="101"/>
      <c r="K21" s="101"/>
      <c r="L21" s="101"/>
      <c r="M21" s="101"/>
      <c r="N21" s="101"/>
      <c r="O21" s="100"/>
      <c r="P21" s="2"/>
      <c r="Q21" s="6">
        <f t="shared" si="2"/>
        <v>0</v>
      </c>
      <c r="R21" s="4"/>
      <c r="S21" s="6">
        <v>6</v>
      </c>
      <c r="T21" s="9">
        <f t="shared" si="3"/>
        <v>8</v>
      </c>
      <c r="U21" s="6"/>
      <c r="V21" s="3">
        <f t="shared" si="0"/>
        <v>0</v>
      </c>
      <c r="W21" s="3">
        <f t="shared" si="1"/>
        <v>0</v>
      </c>
      <c r="X21" s="7"/>
      <c r="Y21" s="12"/>
      <c r="Z21" s="100">
        <v>0</v>
      </c>
      <c r="AA21" s="100">
        <v>2</v>
      </c>
      <c r="AB21" s="100"/>
      <c r="AC21" s="100"/>
      <c r="AD21" s="100"/>
      <c r="AE21" s="100"/>
      <c r="AF21" s="100"/>
      <c r="AG21" s="100"/>
      <c r="AH21" s="100"/>
      <c r="AI21" s="100"/>
      <c r="AJ21" s="100"/>
      <c r="AK21" s="2"/>
      <c r="AL21" s="6">
        <f t="shared" si="4"/>
        <v>2</v>
      </c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6">
        <f t="shared" si="5"/>
        <v>0</v>
      </c>
    </row>
    <row r="22" spans="1:51" s="65" customFormat="1" ht="15" thickBot="1">
      <c r="A22" s="1" t="s">
        <v>78</v>
      </c>
      <c r="B22" s="103" t="s">
        <v>75</v>
      </c>
      <c r="C22" s="63"/>
      <c r="D22" s="103"/>
      <c r="E22" s="101">
        <v>3</v>
      </c>
      <c r="F22" s="101">
        <v>56</v>
      </c>
      <c r="G22" s="101"/>
      <c r="H22" s="101"/>
      <c r="I22" s="101"/>
      <c r="J22" s="101"/>
      <c r="K22" s="101"/>
      <c r="L22" s="101"/>
      <c r="M22" s="101"/>
      <c r="N22" s="101"/>
      <c r="O22" s="100"/>
      <c r="P22" s="2"/>
      <c r="Q22" s="6">
        <f t="shared" si="2"/>
        <v>59</v>
      </c>
      <c r="R22" s="4"/>
      <c r="S22" s="6">
        <v>10</v>
      </c>
      <c r="T22" s="9">
        <f t="shared" si="3"/>
        <v>12</v>
      </c>
      <c r="U22" s="6"/>
      <c r="V22" s="3">
        <f t="shared" si="0"/>
        <v>0</v>
      </c>
      <c r="W22" s="3">
        <f t="shared" si="1"/>
        <v>0</v>
      </c>
      <c r="X22" s="7"/>
      <c r="Y22" s="12"/>
      <c r="Z22" s="100">
        <v>2</v>
      </c>
      <c r="AA22" s="100">
        <v>0</v>
      </c>
      <c r="AB22" s="100"/>
      <c r="AC22" s="100"/>
      <c r="AD22" s="100"/>
      <c r="AE22" s="100"/>
      <c r="AF22" s="100"/>
      <c r="AG22" s="100"/>
      <c r="AH22" s="100"/>
      <c r="AI22" s="100"/>
      <c r="AJ22" s="100"/>
      <c r="AK22" s="2"/>
      <c r="AL22" s="6">
        <f t="shared" si="4"/>
        <v>2</v>
      </c>
      <c r="AM22" s="99">
        <v>0</v>
      </c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6">
        <f t="shared" si="5"/>
        <v>0</v>
      </c>
    </row>
    <row r="23" spans="1:51" s="65" customFormat="1" ht="15" thickBot="1">
      <c r="A23" s="1" t="s">
        <v>78</v>
      </c>
      <c r="B23" s="103" t="s">
        <v>76</v>
      </c>
      <c r="C23" s="63"/>
      <c r="D23" s="103"/>
      <c r="E23" s="101">
        <v>2</v>
      </c>
      <c r="F23" s="101">
        <v>2</v>
      </c>
      <c r="G23" s="101"/>
      <c r="H23" s="101"/>
      <c r="I23" s="101"/>
      <c r="J23" s="101"/>
      <c r="K23" s="101"/>
      <c r="L23" s="101"/>
      <c r="M23" s="101"/>
      <c r="N23" s="101"/>
      <c r="O23" s="100"/>
      <c r="P23" s="2"/>
      <c r="Q23" s="6">
        <f t="shared" si="2"/>
        <v>4</v>
      </c>
      <c r="R23" s="4"/>
      <c r="S23" s="6">
        <v>5</v>
      </c>
      <c r="T23" s="9">
        <f t="shared" si="3"/>
        <v>5</v>
      </c>
      <c r="U23" s="6"/>
      <c r="V23" s="3">
        <f t="shared" si="0"/>
        <v>0</v>
      </c>
      <c r="W23" s="3">
        <f t="shared" si="1"/>
        <v>0</v>
      </c>
      <c r="X23" s="7"/>
      <c r="Y23" s="12"/>
      <c r="Z23" s="100"/>
      <c r="AA23" s="100">
        <v>0</v>
      </c>
      <c r="AB23" s="100"/>
      <c r="AC23" s="100"/>
      <c r="AD23" s="100"/>
      <c r="AE23" s="100"/>
      <c r="AF23" s="100"/>
      <c r="AG23" s="100"/>
      <c r="AH23" s="100"/>
      <c r="AI23" s="100"/>
      <c r="AJ23" s="100"/>
      <c r="AK23" s="2"/>
      <c r="AL23" s="6">
        <f t="shared" si="4"/>
        <v>0</v>
      </c>
      <c r="AM23" s="99">
        <v>0</v>
      </c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6">
        <f t="shared" si="5"/>
        <v>0</v>
      </c>
    </row>
    <row r="24" spans="1:51" s="65" customFormat="1" ht="15" thickBot="1">
      <c r="A24" s="1" t="s">
        <v>78</v>
      </c>
      <c r="B24" s="103" t="s">
        <v>77</v>
      </c>
      <c r="C24" s="63"/>
      <c r="D24" s="103"/>
      <c r="E24" s="101">
        <v>14</v>
      </c>
      <c r="F24" s="101">
        <v>3</v>
      </c>
      <c r="G24" s="101"/>
      <c r="H24" s="101"/>
      <c r="I24" s="101"/>
      <c r="J24" s="101"/>
      <c r="K24" s="101"/>
      <c r="L24" s="101"/>
      <c r="M24" s="101"/>
      <c r="N24" s="101"/>
      <c r="O24" s="100"/>
      <c r="P24" s="2"/>
      <c r="Q24" s="6">
        <f t="shared" si="2"/>
        <v>17</v>
      </c>
      <c r="R24" s="4"/>
      <c r="S24" s="6">
        <v>7</v>
      </c>
      <c r="T24" s="9">
        <f t="shared" si="3"/>
        <v>8</v>
      </c>
      <c r="U24" s="6"/>
      <c r="V24" s="3">
        <f t="shared" si="0"/>
        <v>0</v>
      </c>
      <c r="W24" s="3">
        <f t="shared" si="1"/>
        <v>0</v>
      </c>
      <c r="X24" s="7"/>
      <c r="Y24" s="12"/>
      <c r="Z24" s="100">
        <v>1</v>
      </c>
      <c r="AA24" s="100">
        <v>0</v>
      </c>
      <c r="AB24" s="100"/>
      <c r="AC24" s="100"/>
      <c r="AD24" s="100"/>
      <c r="AE24" s="100"/>
      <c r="AF24" s="100"/>
      <c r="AG24" s="100"/>
      <c r="AH24" s="100"/>
      <c r="AI24" s="100"/>
      <c r="AJ24" s="100"/>
      <c r="AK24" s="2"/>
      <c r="AL24" s="6">
        <f t="shared" si="4"/>
        <v>1</v>
      </c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6">
        <f t="shared" si="5"/>
        <v>0</v>
      </c>
    </row>
    <row r="25" spans="1:51" s="65" customFormat="1" ht="15" thickBot="1">
      <c r="A25" s="196" t="s">
        <v>218</v>
      </c>
      <c r="B25" s="197"/>
      <c r="C25" s="45">
        <f>+D25/Metas!G30</f>
        <v>0.4062620911336646</v>
      </c>
      <c r="D25" s="19">
        <f>+Q25/R25</f>
        <v>0.008125241822673294</v>
      </c>
      <c r="E25" s="14">
        <f aca="true" t="shared" si="6" ref="E25:P25">SUM(E12:E24)</f>
        <v>72</v>
      </c>
      <c r="F25" s="14">
        <f t="shared" si="6"/>
        <v>201</v>
      </c>
      <c r="G25" s="14">
        <f t="shared" si="6"/>
        <v>0</v>
      </c>
      <c r="H25" s="14">
        <f t="shared" si="6"/>
        <v>0</v>
      </c>
      <c r="I25" s="14">
        <f t="shared" si="6"/>
        <v>0</v>
      </c>
      <c r="J25" s="14">
        <f t="shared" si="6"/>
        <v>0</v>
      </c>
      <c r="K25" s="14">
        <f t="shared" si="6"/>
        <v>0</v>
      </c>
      <c r="L25" s="14">
        <f t="shared" si="6"/>
        <v>0</v>
      </c>
      <c r="M25" s="14">
        <f t="shared" si="6"/>
        <v>0</v>
      </c>
      <c r="N25" s="14">
        <f t="shared" si="6"/>
        <v>0</v>
      </c>
      <c r="O25" s="14">
        <f t="shared" si="6"/>
        <v>0</v>
      </c>
      <c r="P25" s="14">
        <f t="shared" si="6"/>
        <v>0</v>
      </c>
      <c r="Q25" s="14">
        <f>SUM(Q12:Q24)</f>
        <v>273</v>
      </c>
      <c r="R25" s="15">
        <f>+Y25-T25</f>
        <v>33599</v>
      </c>
      <c r="S25" s="13">
        <f aca="true" t="shared" si="7" ref="S25:X25">SUM(S12:S24)</f>
        <v>442</v>
      </c>
      <c r="T25" s="13">
        <f t="shared" si="7"/>
        <v>465</v>
      </c>
      <c r="U25" s="13">
        <f t="shared" si="7"/>
        <v>0</v>
      </c>
      <c r="V25" s="13">
        <f t="shared" si="7"/>
        <v>0</v>
      </c>
      <c r="W25" s="13">
        <f t="shared" si="7"/>
        <v>0</v>
      </c>
      <c r="X25" s="13">
        <f t="shared" si="7"/>
        <v>0</v>
      </c>
      <c r="Y25" s="16">
        <v>34064</v>
      </c>
      <c r="Z25" s="13">
        <f>SUM(Z12:Z24)</f>
        <v>6</v>
      </c>
      <c r="AA25" s="13">
        <f aca="true" t="shared" si="8" ref="AA25:AK25">SUM(AA12:AA24)</f>
        <v>22</v>
      </c>
      <c r="AB25" s="13">
        <f t="shared" si="8"/>
        <v>0</v>
      </c>
      <c r="AC25" s="13">
        <f t="shared" si="8"/>
        <v>0</v>
      </c>
      <c r="AD25" s="13">
        <f t="shared" si="8"/>
        <v>0</v>
      </c>
      <c r="AE25" s="13">
        <f t="shared" si="8"/>
        <v>0</v>
      </c>
      <c r="AF25" s="13">
        <f t="shared" si="8"/>
        <v>0</v>
      </c>
      <c r="AG25" s="13">
        <f t="shared" si="8"/>
        <v>0</v>
      </c>
      <c r="AH25" s="13">
        <f t="shared" si="8"/>
        <v>0</v>
      </c>
      <c r="AI25" s="13">
        <f t="shared" si="8"/>
        <v>0</v>
      </c>
      <c r="AJ25" s="13">
        <f t="shared" si="8"/>
        <v>0</v>
      </c>
      <c r="AK25" s="13">
        <f t="shared" si="8"/>
        <v>0</v>
      </c>
      <c r="AL25" s="13">
        <f>SUM(Z25:AK25)</f>
        <v>28</v>
      </c>
      <c r="AM25" s="13">
        <f>SUM(AM12:AM24)</f>
        <v>0</v>
      </c>
      <c r="AN25" s="13">
        <f aca="true" t="shared" si="9" ref="AN25:AX25">SUM(AN12:AN24)</f>
        <v>5</v>
      </c>
      <c r="AO25" s="13">
        <f t="shared" si="9"/>
        <v>0</v>
      </c>
      <c r="AP25" s="13">
        <f t="shared" si="9"/>
        <v>0</v>
      </c>
      <c r="AQ25" s="13">
        <f t="shared" si="9"/>
        <v>0</v>
      </c>
      <c r="AR25" s="13">
        <f t="shared" si="9"/>
        <v>0</v>
      </c>
      <c r="AS25" s="13">
        <f t="shared" si="9"/>
        <v>0</v>
      </c>
      <c r="AT25" s="13">
        <f t="shared" si="9"/>
        <v>0</v>
      </c>
      <c r="AU25" s="13">
        <f t="shared" si="9"/>
        <v>0</v>
      </c>
      <c r="AV25" s="13">
        <f t="shared" si="9"/>
        <v>0</v>
      </c>
      <c r="AW25" s="13">
        <f t="shared" si="9"/>
        <v>0</v>
      </c>
      <c r="AX25" s="13">
        <f t="shared" si="9"/>
        <v>0</v>
      </c>
      <c r="AY25" s="13">
        <f>SUM(AM25:AX25)</f>
        <v>5</v>
      </c>
    </row>
    <row r="26" spans="1:51" s="65" customFormat="1" ht="15" thickBot="1">
      <c r="A26" s="1" t="s">
        <v>79</v>
      </c>
      <c r="B26" s="103" t="s">
        <v>80</v>
      </c>
      <c r="C26" s="63"/>
      <c r="D26" s="103"/>
      <c r="E26" s="101">
        <v>58</v>
      </c>
      <c r="F26" s="101">
        <v>47</v>
      </c>
      <c r="G26" s="101"/>
      <c r="H26" s="101"/>
      <c r="I26" s="101"/>
      <c r="J26" s="101"/>
      <c r="K26" s="101"/>
      <c r="L26" s="101"/>
      <c r="M26" s="101"/>
      <c r="N26" s="101"/>
      <c r="O26" s="100"/>
      <c r="P26" s="2"/>
      <c r="Q26" s="6">
        <f aca="true" t="shared" si="10" ref="Q26:Q34">SUM(E26:P26)</f>
        <v>105</v>
      </c>
      <c r="R26" s="4"/>
      <c r="S26" s="6">
        <v>79</v>
      </c>
      <c r="T26" s="9">
        <f aca="true" t="shared" si="11" ref="T26:T75">+S26+(Z26+AA26+AB26)-(AM26+AN26+AO26)</f>
        <v>86</v>
      </c>
      <c r="U26" s="6"/>
      <c r="V26" s="3">
        <f aca="true" t="shared" si="12" ref="V26:V75">+U26+(AF26+AG26)-(AS26+AT26)</f>
        <v>0</v>
      </c>
      <c r="W26" s="3">
        <f aca="true" t="shared" si="13" ref="W26:W35">+U26+(AF26+AG26+AH26+AI26)-(AS26+AT26+AU26+AV26)</f>
        <v>0</v>
      </c>
      <c r="X26" s="7"/>
      <c r="Y26" s="11"/>
      <c r="Z26" s="100">
        <v>3</v>
      </c>
      <c r="AA26" s="100">
        <v>4</v>
      </c>
      <c r="AB26" s="100"/>
      <c r="AC26" s="100"/>
      <c r="AD26" s="100"/>
      <c r="AE26" s="100"/>
      <c r="AF26" s="100"/>
      <c r="AG26" s="100"/>
      <c r="AH26" s="100"/>
      <c r="AI26" s="102"/>
      <c r="AJ26" s="100"/>
      <c r="AK26" s="2"/>
      <c r="AL26" s="6">
        <f aca="true" t="shared" si="14" ref="AL26:AL75">SUM(Z26:AK26)</f>
        <v>7</v>
      </c>
      <c r="AM26" s="101">
        <v>0</v>
      </c>
      <c r="AN26" s="101">
        <v>0</v>
      </c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6">
        <f t="shared" si="5"/>
        <v>0</v>
      </c>
    </row>
    <row r="27" spans="1:51" s="65" customFormat="1" ht="15" thickBot="1">
      <c r="A27" s="1" t="s">
        <v>79</v>
      </c>
      <c r="B27" s="103" t="s">
        <v>81</v>
      </c>
      <c r="C27" s="63"/>
      <c r="D27" s="103"/>
      <c r="E27" s="101">
        <v>80</v>
      </c>
      <c r="F27" s="101">
        <v>71</v>
      </c>
      <c r="G27" s="101"/>
      <c r="H27" s="101"/>
      <c r="I27" s="101"/>
      <c r="J27" s="101"/>
      <c r="K27" s="101"/>
      <c r="L27" s="101"/>
      <c r="M27" s="101"/>
      <c r="N27" s="101"/>
      <c r="O27" s="100"/>
      <c r="P27" s="2"/>
      <c r="Q27" s="6">
        <f t="shared" si="10"/>
        <v>151</v>
      </c>
      <c r="R27" s="4"/>
      <c r="S27" s="6">
        <v>67</v>
      </c>
      <c r="T27" s="9">
        <f t="shared" si="11"/>
        <v>68</v>
      </c>
      <c r="U27" s="6"/>
      <c r="V27" s="3">
        <f t="shared" si="12"/>
        <v>0</v>
      </c>
      <c r="W27" s="3">
        <f t="shared" si="13"/>
        <v>0</v>
      </c>
      <c r="X27" s="7"/>
      <c r="Y27" s="11"/>
      <c r="Z27" s="100">
        <v>1</v>
      </c>
      <c r="AA27" s="100">
        <v>0</v>
      </c>
      <c r="AB27" s="100"/>
      <c r="AC27" s="100"/>
      <c r="AD27" s="100"/>
      <c r="AE27" s="100"/>
      <c r="AF27" s="100"/>
      <c r="AG27" s="100"/>
      <c r="AH27" s="100"/>
      <c r="AI27" s="102"/>
      <c r="AJ27" s="100"/>
      <c r="AK27" s="2"/>
      <c r="AL27" s="6">
        <f t="shared" si="14"/>
        <v>1</v>
      </c>
      <c r="AM27" s="101">
        <v>0</v>
      </c>
      <c r="AN27" s="101">
        <v>0</v>
      </c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6">
        <f t="shared" si="5"/>
        <v>0</v>
      </c>
    </row>
    <row r="28" spans="1:51" s="65" customFormat="1" ht="15" thickBot="1">
      <c r="A28" s="1" t="s">
        <v>79</v>
      </c>
      <c r="B28" s="103" t="s">
        <v>82</v>
      </c>
      <c r="C28" s="63"/>
      <c r="D28" s="103"/>
      <c r="E28" s="101">
        <v>89</v>
      </c>
      <c r="F28" s="101">
        <v>85</v>
      </c>
      <c r="G28" s="101"/>
      <c r="H28" s="101"/>
      <c r="I28" s="101"/>
      <c r="J28" s="101"/>
      <c r="K28" s="101"/>
      <c r="L28" s="101"/>
      <c r="M28" s="101"/>
      <c r="N28" s="101"/>
      <c r="O28" s="100"/>
      <c r="P28" s="2"/>
      <c r="Q28" s="6">
        <f t="shared" si="10"/>
        <v>174</v>
      </c>
      <c r="R28" s="4"/>
      <c r="S28" s="6">
        <v>562</v>
      </c>
      <c r="T28" s="9">
        <f t="shared" si="11"/>
        <v>570</v>
      </c>
      <c r="U28" s="6"/>
      <c r="V28" s="3">
        <f t="shared" si="12"/>
        <v>0</v>
      </c>
      <c r="W28" s="3">
        <f t="shared" si="13"/>
        <v>0</v>
      </c>
      <c r="X28" s="7"/>
      <c r="Y28" s="11"/>
      <c r="Z28" s="100">
        <v>4</v>
      </c>
      <c r="AA28" s="100">
        <v>5</v>
      </c>
      <c r="AB28" s="100"/>
      <c r="AC28" s="100"/>
      <c r="AD28" s="100"/>
      <c r="AE28" s="100"/>
      <c r="AF28" s="100"/>
      <c r="AG28" s="100"/>
      <c r="AH28" s="100"/>
      <c r="AI28" s="102"/>
      <c r="AJ28" s="100"/>
      <c r="AK28" s="2"/>
      <c r="AL28" s="6">
        <f t="shared" si="14"/>
        <v>9</v>
      </c>
      <c r="AM28" s="101">
        <v>0</v>
      </c>
      <c r="AN28" s="101">
        <v>1</v>
      </c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6">
        <f t="shared" si="5"/>
        <v>1</v>
      </c>
    </row>
    <row r="29" spans="1:51" s="65" customFormat="1" ht="15" thickBot="1">
      <c r="A29" s="1" t="s">
        <v>79</v>
      </c>
      <c r="B29" s="103" t="s">
        <v>83</v>
      </c>
      <c r="C29" s="63"/>
      <c r="D29" s="103"/>
      <c r="E29" s="101">
        <v>13</v>
      </c>
      <c r="F29" s="101">
        <v>24</v>
      </c>
      <c r="G29" s="101"/>
      <c r="H29" s="101"/>
      <c r="I29" s="101"/>
      <c r="J29" s="101"/>
      <c r="K29" s="101"/>
      <c r="L29" s="101"/>
      <c r="M29" s="101"/>
      <c r="N29" s="101"/>
      <c r="O29" s="100"/>
      <c r="P29" s="2"/>
      <c r="Q29" s="6">
        <f t="shared" si="10"/>
        <v>37</v>
      </c>
      <c r="R29" s="4"/>
      <c r="S29" s="6">
        <v>22</v>
      </c>
      <c r="T29" s="9">
        <f t="shared" si="11"/>
        <v>22</v>
      </c>
      <c r="U29" s="6"/>
      <c r="V29" s="3">
        <f t="shared" si="12"/>
        <v>0</v>
      </c>
      <c r="W29" s="3">
        <f t="shared" si="13"/>
        <v>0</v>
      </c>
      <c r="X29" s="7"/>
      <c r="Y29" s="11"/>
      <c r="Z29" s="100">
        <v>0</v>
      </c>
      <c r="AA29" s="100">
        <v>0</v>
      </c>
      <c r="AB29" s="100"/>
      <c r="AC29" s="100"/>
      <c r="AD29" s="100"/>
      <c r="AE29" s="100"/>
      <c r="AF29" s="100"/>
      <c r="AG29" s="100"/>
      <c r="AH29" s="100"/>
      <c r="AI29" s="102"/>
      <c r="AJ29" s="100"/>
      <c r="AK29" s="2"/>
      <c r="AL29" s="6">
        <f t="shared" si="14"/>
        <v>0</v>
      </c>
      <c r="AM29" s="101">
        <v>0</v>
      </c>
      <c r="AN29" s="101">
        <v>0</v>
      </c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6">
        <f t="shared" si="5"/>
        <v>0</v>
      </c>
    </row>
    <row r="30" spans="1:51" s="65" customFormat="1" ht="15" thickBot="1">
      <c r="A30" s="1" t="s">
        <v>79</v>
      </c>
      <c r="B30" s="103" t="s">
        <v>84</v>
      </c>
      <c r="C30" s="63"/>
      <c r="D30" s="103"/>
      <c r="E30" s="101">
        <v>76</v>
      </c>
      <c r="F30" s="101">
        <v>118</v>
      </c>
      <c r="G30" s="101"/>
      <c r="H30" s="101"/>
      <c r="I30" s="101"/>
      <c r="J30" s="101"/>
      <c r="K30" s="101"/>
      <c r="L30" s="101"/>
      <c r="M30" s="101"/>
      <c r="N30" s="101"/>
      <c r="O30" s="100"/>
      <c r="P30" s="2"/>
      <c r="Q30" s="6">
        <f t="shared" si="10"/>
        <v>194</v>
      </c>
      <c r="R30" s="4"/>
      <c r="S30" s="6">
        <v>50</v>
      </c>
      <c r="T30" s="9">
        <f t="shared" si="11"/>
        <v>52</v>
      </c>
      <c r="U30" s="6"/>
      <c r="V30" s="3">
        <f t="shared" si="12"/>
        <v>0</v>
      </c>
      <c r="W30" s="3">
        <f t="shared" si="13"/>
        <v>0</v>
      </c>
      <c r="X30" s="7"/>
      <c r="Y30" s="11"/>
      <c r="Z30" s="100">
        <v>1</v>
      </c>
      <c r="AA30" s="100">
        <v>2</v>
      </c>
      <c r="AB30" s="100"/>
      <c r="AC30" s="100"/>
      <c r="AD30" s="100"/>
      <c r="AE30" s="100"/>
      <c r="AF30" s="100"/>
      <c r="AG30" s="100"/>
      <c r="AH30" s="100"/>
      <c r="AI30" s="102"/>
      <c r="AJ30" s="100"/>
      <c r="AK30" s="2"/>
      <c r="AL30" s="6">
        <f t="shared" si="14"/>
        <v>3</v>
      </c>
      <c r="AM30" s="115"/>
      <c r="AN30" s="115">
        <v>1</v>
      </c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6">
        <f t="shared" si="5"/>
        <v>1</v>
      </c>
    </row>
    <row r="31" spans="1:51" s="65" customFormat="1" ht="15" thickBot="1">
      <c r="A31" s="1" t="s">
        <v>79</v>
      </c>
      <c r="B31" s="103" t="s">
        <v>85</v>
      </c>
      <c r="C31" s="63"/>
      <c r="D31" s="103"/>
      <c r="E31" s="101">
        <v>2</v>
      </c>
      <c r="F31" s="101">
        <v>1</v>
      </c>
      <c r="G31" s="101"/>
      <c r="H31" s="101"/>
      <c r="I31" s="101"/>
      <c r="J31" s="101"/>
      <c r="K31" s="101"/>
      <c r="L31" s="101"/>
      <c r="M31" s="101"/>
      <c r="N31" s="101"/>
      <c r="O31" s="100"/>
      <c r="P31" s="2"/>
      <c r="Q31" s="6">
        <f t="shared" si="10"/>
        <v>3</v>
      </c>
      <c r="R31" s="4"/>
      <c r="S31" s="6">
        <v>7</v>
      </c>
      <c r="T31" s="9">
        <f t="shared" si="11"/>
        <v>7</v>
      </c>
      <c r="U31" s="6"/>
      <c r="V31" s="3">
        <f t="shared" si="12"/>
        <v>0</v>
      </c>
      <c r="W31" s="3">
        <f t="shared" si="13"/>
        <v>0</v>
      </c>
      <c r="X31" s="7"/>
      <c r="Y31" s="11"/>
      <c r="Z31" s="100"/>
      <c r="AA31" s="100">
        <v>0</v>
      </c>
      <c r="AB31" s="100"/>
      <c r="AC31" s="100"/>
      <c r="AD31" s="100"/>
      <c r="AE31" s="100"/>
      <c r="AF31" s="100"/>
      <c r="AG31" s="100"/>
      <c r="AH31" s="100"/>
      <c r="AI31" s="102"/>
      <c r="AJ31" s="100"/>
      <c r="AK31" s="2"/>
      <c r="AL31" s="6">
        <f t="shared" si="14"/>
        <v>0</v>
      </c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6">
        <f t="shared" si="5"/>
        <v>0</v>
      </c>
    </row>
    <row r="32" spans="1:51" s="65" customFormat="1" ht="15" thickBot="1">
      <c r="A32" s="1" t="s">
        <v>79</v>
      </c>
      <c r="B32" s="103" t="s">
        <v>86</v>
      </c>
      <c r="C32" s="63"/>
      <c r="D32" s="103"/>
      <c r="E32" s="101">
        <v>0</v>
      </c>
      <c r="F32" s="101">
        <v>3</v>
      </c>
      <c r="G32" s="101"/>
      <c r="H32" s="101"/>
      <c r="I32" s="101"/>
      <c r="J32" s="101"/>
      <c r="K32" s="101"/>
      <c r="L32" s="101"/>
      <c r="M32" s="101"/>
      <c r="N32" s="101"/>
      <c r="O32" s="100"/>
      <c r="P32" s="2"/>
      <c r="Q32" s="6">
        <f t="shared" si="10"/>
        <v>3</v>
      </c>
      <c r="R32" s="4"/>
      <c r="S32" s="6">
        <v>15</v>
      </c>
      <c r="T32" s="9">
        <f t="shared" si="11"/>
        <v>15</v>
      </c>
      <c r="U32" s="6"/>
      <c r="V32" s="3">
        <f t="shared" si="12"/>
        <v>0</v>
      </c>
      <c r="W32" s="3">
        <f t="shared" si="13"/>
        <v>0</v>
      </c>
      <c r="X32" s="7"/>
      <c r="Y32" s="11"/>
      <c r="Z32" s="100">
        <v>0</v>
      </c>
      <c r="AA32" s="100">
        <v>0</v>
      </c>
      <c r="AB32" s="100"/>
      <c r="AC32" s="100"/>
      <c r="AD32" s="100"/>
      <c r="AE32" s="100"/>
      <c r="AF32" s="100"/>
      <c r="AG32" s="100"/>
      <c r="AH32" s="100"/>
      <c r="AI32" s="102"/>
      <c r="AJ32" s="100"/>
      <c r="AK32" s="2"/>
      <c r="AL32" s="6">
        <f t="shared" si="14"/>
        <v>0</v>
      </c>
      <c r="AM32" s="101">
        <v>0</v>
      </c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6">
        <f t="shared" si="5"/>
        <v>0</v>
      </c>
    </row>
    <row r="33" spans="1:51" s="65" customFormat="1" ht="15" thickBot="1">
      <c r="A33" s="1" t="s">
        <v>79</v>
      </c>
      <c r="B33" s="103" t="s">
        <v>87</v>
      </c>
      <c r="C33" s="63"/>
      <c r="D33" s="103"/>
      <c r="E33" s="101">
        <v>3</v>
      </c>
      <c r="F33" s="101">
        <v>2</v>
      </c>
      <c r="G33" s="101"/>
      <c r="H33" s="101"/>
      <c r="I33" s="101"/>
      <c r="J33" s="101"/>
      <c r="K33" s="101"/>
      <c r="L33" s="101"/>
      <c r="M33" s="101"/>
      <c r="N33" s="101"/>
      <c r="O33" s="100"/>
      <c r="P33" s="2"/>
      <c r="Q33" s="6">
        <f t="shared" si="10"/>
        <v>5</v>
      </c>
      <c r="R33" s="4"/>
      <c r="S33" s="6">
        <v>10</v>
      </c>
      <c r="T33" s="9">
        <f t="shared" si="11"/>
        <v>10</v>
      </c>
      <c r="U33" s="6"/>
      <c r="V33" s="3">
        <f t="shared" si="12"/>
        <v>0</v>
      </c>
      <c r="W33" s="3">
        <f t="shared" si="13"/>
        <v>0</v>
      </c>
      <c r="X33" s="7"/>
      <c r="Y33" s="11"/>
      <c r="Z33" s="100">
        <v>0</v>
      </c>
      <c r="AA33" s="100">
        <v>0</v>
      </c>
      <c r="AB33" s="100"/>
      <c r="AC33" s="100"/>
      <c r="AD33" s="100"/>
      <c r="AE33" s="100"/>
      <c r="AF33" s="100"/>
      <c r="AG33" s="100"/>
      <c r="AH33" s="100"/>
      <c r="AI33" s="102"/>
      <c r="AJ33" s="100"/>
      <c r="AK33" s="2"/>
      <c r="AL33" s="6">
        <f t="shared" si="14"/>
        <v>0</v>
      </c>
      <c r="AM33" s="101">
        <v>0</v>
      </c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6">
        <f t="shared" si="5"/>
        <v>0</v>
      </c>
    </row>
    <row r="34" spans="1:51" s="65" customFormat="1" ht="15" thickBot="1">
      <c r="A34" s="1" t="s">
        <v>79</v>
      </c>
      <c r="B34" s="103" t="s">
        <v>88</v>
      </c>
      <c r="C34" s="63"/>
      <c r="D34" s="103"/>
      <c r="E34" s="101">
        <v>1</v>
      </c>
      <c r="F34" s="101">
        <v>1</v>
      </c>
      <c r="G34" s="101"/>
      <c r="H34" s="101"/>
      <c r="I34" s="101"/>
      <c r="J34" s="101"/>
      <c r="K34" s="101"/>
      <c r="L34" s="101"/>
      <c r="M34" s="101"/>
      <c r="N34" s="101"/>
      <c r="O34" s="100"/>
      <c r="P34" s="2"/>
      <c r="Q34" s="6">
        <f t="shared" si="10"/>
        <v>2</v>
      </c>
      <c r="R34" s="4"/>
      <c r="S34" s="6">
        <v>1</v>
      </c>
      <c r="T34" s="9">
        <f t="shared" si="11"/>
        <v>1</v>
      </c>
      <c r="U34" s="6"/>
      <c r="V34" s="3">
        <f t="shared" si="12"/>
        <v>0</v>
      </c>
      <c r="W34" s="3">
        <f t="shared" si="13"/>
        <v>0</v>
      </c>
      <c r="X34" s="7"/>
      <c r="Y34" s="11"/>
      <c r="Z34" s="100"/>
      <c r="AA34" s="100">
        <v>0</v>
      </c>
      <c r="AB34" s="100"/>
      <c r="AC34" s="100"/>
      <c r="AD34" s="100"/>
      <c r="AE34" s="100"/>
      <c r="AF34" s="100"/>
      <c r="AG34" s="100"/>
      <c r="AH34" s="100"/>
      <c r="AI34" s="102"/>
      <c r="AJ34" s="100"/>
      <c r="AK34" s="2"/>
      <c r="AL34" s="6">
        <f t="shared" si="14"/>
        <v>0</v>
      </c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6">
        <f t="shared" si="5"/>
        <v>0</v>
      </c>
    </row>
    <row r="35" spans="1:51" s="65" customFormat="1" ht="15" thickBot="1">
      <c r="A35" s="1" t="s">
        <v>79</v>
      </c>
      <c r="B35" s="103" t="s">
        <v>89</v>
      </c>
      <c r="C35" s="63"/>
      <c r="D35" s="103"/>
      <c r="E35" s="101">
        <v>1</v>
      </c>
      <c r="F35" s="101">
        <v>7</v>
      </c>
      <c r="G35" s="101"/>
      <c r="H35" s="101"/>
      <c r="I35" s="101"/>
      <c r="J35" s="101"/>
      <c r="K35" s="101"/>
      <c r="L35" s="101"/>
      <c r="M35" s="101"/>
      <c r="N35" s="101"/>
      <c r="O35" s="100"/>
      <c r="P35" s="2"/>
      <c r="Q35" s="6">
        <f>SUM(E35:P35)</f>
        <v>8</v>
      </c>
      <c r="R35" s="4"/>
      <c r="S35" s="6">
        <v>20</v>
      </c>
      <c r="T35" s="9">
        <f t="shared" si="11"/>
        <v>21</v>
      </c>
      <c r="U35" s="6"/>
      <c r="V35" s="3">
        <f t="shared" si="12"/>
        <v>0</v>
      </c>
      <c r="W35" s="3">
        <f t="shared" si="13"/>
        <v>0</v>
      </c>
      <c r="X35" s="7"/>
      <c r="Y35" s="11"/>
      <c r="Z35" s="100">
        <v>0</v>
      </c>
      <c r="AA35" s="100">
        <v>1</v>
      </c>
      <c r="AB35" s="100"/>
      <c r="AC35" s="100"/>
      <c r="AD35" s="100"/>
      <c r="AE35" s="100"/>
      <c r="AF35" s="100"/>
      <c r="AG35" s="100"/>
      <c r="AH35" s="100"/>
      <c r="AI35" s="102"/>
      <c r="AJ35" s="100"/>
      <c r="AK35" s="2"/>
      <c r="AL35" s="6">
        <f>SUM(Z35:AK35)</f>
        <v>1</v>
      </c>
      <c r="AM35" s="101">
        <v>0</v>
      </c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6">
        <f>SUM(AM35:AX35)</f>
        <v>0</v>
      </c>
    </row>
    <row r="36" spans="1:51" s="65" customFormat="1" ht="15" thickBot="1">
      <c r="A36" s="196" t="s">
        <v>219</v>
      </c>
      <c r="B36" s="197"/>
      <c r="C36" s="45">
        <f>+D36/Metas!G28</f>
        <v>1.261995433130896</v>
      </c>
      <c r="D36" s="19">
        <f>+Q36/R36</f>
        <v>0.022715917796356126</v>
      </c>
      <c r="E36" s="14">
        <f aca="true" t="shared" si="15" ref="E36:Q36">SUM(E26:E35)</f>
        <v>323</v>
      </c>
      <c r="F36" s="14">
        <f t="shared" si="15"/>
        <v>359</v>
      </c>
      <c r="G36" s="14">
        <f t="shared" si="15"/>
        <v>0</v>
      </c>
      <c r="H36" s="14">
        <f t="shared" si="15"/>
        <v>0</v>
      </c>
      <c r="I36" s="14">
        <f t="shared" si="15"/>
        <v>0</v>
      </c>
      <c r="J36" s="14">
        <f t="shared" si="15"/>
        <v>0</v>
      </c>
      <c r="K36" s="14">
        <f t="shared" si="15"/>
        <v>0</v>
      </c>
      <c r="L36" s="14">
        <f t="shared" si="15"/>
        <v>0</v>
      </c>
      <c r="M36" s="14">
        <f t="shared" si="15"/>
        <v>0</v>
      </c>
      <c r="N36" s="14">
        <f t="shared" si="15"/>
        <v>0</v>
      </c>
      <c r="O36" s="14">
        <f t="shared" si="15"/>
        <v>0</v>
      </c>
      <c r="P36" s="14">
        <f t="shared" si="15"/>
        <v>0</v>
      </c>
      <c r="Q36" s="14">
        <f t="shared" si="15"/>
        <v>682</v>
      </c>
      <c r="R36" s="15">
        <f>+Y36-T36</f>
        <v>30023</v>
      </c>
      <c r="S36" s="13">
        <f aca="true" t="shared" si="16" ref="S36:X36">SUM(S26:S35)</f>
        <v>833</v>
      </c>
      <c r="T36" s="13">
        <f t="shared" si="16"/>
        <v>852</v>
      </c>
      <c r="U36" s="13">
        <f t="shared" si="16"/>
        <v>0</v>
      </c>
      <c r="V36" s="13">
        <f t="shared" si="16"/>
        <v>0</v>
      </c>
      <c r="W36" s="13">
        <f t="shared" si="16"/>
        <v>0</v>
      </c>
      <c r="X36" s="13">
        <f t="shared" si="16"/>
        <v>0</v>
      </c>
      <c r="Y36" s="16">
        <v>30875</v>
      </c>
      <c r="Z36" s="13">
        <f aca="true" t="shared" si="17" ref="Z36:AK36">SUM(Z26:Z35)</f>
        <v>9</v>
      </c>
      <c r="AA36" s="13">
        <f t="shared" si="17"/>
        <v>12</v>
      </c>
      <c r="AB36" s="13">
        <f t="shared" si="17"/>
        <v>0</v>
      </c>
      <c r="AC36" s="13">
        <f t="shared" si="17"/>
        <v>0</v>
      </c>
      <c r="AD36" s="13">
        <f t="shared" si="17"/>
        <v>0</v>
      </c>
      <c r="AE36" s="13">
        <f t="shared" si="17"/>
        <v>0</v>
      </c>
      <c r="AF36" s="13">
        <f t="shared" si="17"/>
        <v>0</v>
      </c>
      <c r="AG36" s="13">
        <f t="shared" si="17"/>
        <v>0</v>
      </c>
      <c r="AH36" s="13">
        <f t="shared" si="17"/>
        <v>0</v>
      </c>
      <c r="AI36" s="13">
        <f t="shared" si="17"/>
        <v>0</v>
      </c>
      <c r="AJ36" s="13">
        <f t="shared" si="17"/>
        <v>0</v>
      </c>
      <c r="AK36" s="13">
        <f t="shared" si="17"/>
        <v>0</v>
      </c>
      <c r="AL36" s="13">
        <f t="shared" si="14"/>
        <v>21</v>
      </c>
      <c r="AM36" s="13">
        <f aca="true" t="shared" si="18" ref="AM36:AX36">SUM(AM26:AM35)</f>
        <v>0</v>
      </c>
      <c r="AN36" s="13">
        <f t="shared" si="18"/>
        <v>2</v>
      </c>
      <c r="AO36" s="13">
        <f t="shared" si="18"/>
        <v>0</v>
      </c>
      <c r="AP36" s="13">
        <f t="shared" si="18"/>
        <v>0</v>
      </c>
      <c r="AQ36" s="13">
        <f t="shared" si="18"/>
        <v>0</v>
      </c>
      <c r="AR36" s="13">
        <f t="shared" si="18"/>
        <v>0</v>
      </c>
      <c r="AS36" s="13">
        <f t="shared" si="18"/>
        <v>0</v>
      </c>
      <c r="AT36" s="13">
        <f t="shared" si="18"/>
        <v>0</v>
      </c>
      <c r="AU36" s="13">
        <f t="shared" si="18"/>
        <v>0</v>
      </c>
      <c r="AV36" s="13">
        <f t="shared" si="18"/>
        <v>0</v>
      </c>
      <c r="AW36" s="13">
        <f t="shared" si="18"/>
        <v>0</v>
      </c>
      <c r="AX36" s="13">
        <f t="shared" si="18"/>
        <v>0</v>
      </c>
      <c r="AY36" s="13">
        <f t="shared" si="5"/>
        <v>2</v>
      </c>
    </row>
    <row r="37" spans="1:51" s="65" customFormat="1" ht="15" thickBot="1">
      <c r="A37" s="1" t="s">
        <v>100</v>
      </c>
      <c r="B37" s="103" t="s">
        <v>90</v>
      </c>
      <c r="C37" s="63"/>
      <c r="D37" s="103"/>
      <c r="E37" s="101">
        <v>3</v>
      </c>
      <c r="F37" s="101">
        <v>2</v>
      </c>
      <c r="G37" s="101"/>
      <c r="H37" s="101"/>
      <c r="I37" s="101"/>
      <c r="J37" s="101"/>
      <c r="K37" s="101"/>
      <c r="L37" s="101"/>
      <c r="M37" s="101"/>
      <c r="N37" s="101"/>
      <c r="O37" s="100"/>
      <c r="P37" s="2"/>
      <c r="Q37" s="6">
        <f aca="true" t="shared" si="19" ref="Q37:Q46">SUM(E37:P37)</f>
        <v>5</v>
      </c>
      <c r="R37" s="4"/>
      <c r="S37" s="6">
        <v>10</v>
      </c>
      <c r="T37" s="9">
        <f t="shared" si="11"/>
        <v>10</v>
      </c>
      <c r="U37" s="6"/>
      <c r="V37" s="3">
        <f t="shared" si="12"/>
        <v>0</v>
      </c>
      <c r="W37" s="3">
        <f aca="true" t="shared" si="20" ref="W37:W46">+U37+(AF37+AG37+AH37+AI37)-(AS37+AT37+AU37+AV37)</f>
        <v>0</v>
      </c>
      <c r="X37" s="7"/>
      <c r="Y37" s="11"/>
      <c r="Z37" s="64"/>
      <c r="AA37" s="64"/>
      <c r="AB37" s="64"/>
      <c r="AC37" s="64"/>
      <c r="AD37" s="64"/>
      <c r="AE37" s="64"/>
      <c r="AF37" s="64"/>
      <c r="AG37" s="2"/>
      <c r="AH37" s="2"/>
      <c r="AI37" s="8"/>
      <c r="AJ37" s="2"/>
      <c r="AK37" s="2"/>
      <c r="AL37" s="6">
        <f t="shared" si="14"/>
        <v>0</v>
      </c>
      <c r="AM37" s="64"/>
      <c r="AN37" s="64">
        <v>0</v>
      </c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">
        <f t="shared" si="5"/>
        <v>0</v>
      </c>
    </row>
    <row r="38" spans="1:51" s="65" customFormat="1" ht="15" thickBot="1">
      <c r="A38" s="1" t="s">
        <v>100</v>
      </c>
      <c r="B38" s="103" t="s">
        <v>91</v>
      </c>
      <c r="C38" s="63"/>
      <c r="D38" s="103"/>
      <c r="E38" s="101">
        <v>0</v>
      </c>
      <c r="F38" s="101">
        <v>0</v>
      </c>
      <c r="G38" s="101"/>
      <c r="H38" s="101"/>
      <c r="I38" s="101"/>
      <c r="J38" s="101"/>
      <c r="K38" s="101"/>
      <c r="L38" s="101"/>
      <c r="M38" s="101"/>
      <c r="N38" s="101"/>
      <c r="O38" s="100"/>
      <c r="P38" s="2"/>
      <c r="Q38" s="6">
        <f t="shared" si="19"/>
        <v>0</v>
      </c>
      <c r="R38" s="4"/>
      <c r="S38" s="6">
        <v>4</v>
      </c>
      <c r="T38" s="9">
        <f t="shared" si="11"/>
        <v>4</v>
      </c>
      <c r="U38" s="6"/>
      <c r="V38" s="3">
        <f t="shared" si="12"/>
        <v>0</v>
      </c>
      <c r="W38" s="3">
        <f t="shared" si="20"/>
        <v>0</v>
      </c>
      <c r="X38" s="7"/>
      <c r="Y38" s="11"/>
      <c r="Z38" s="64"/>
      <c r="AA38" s="64"/>
      <c r="AB38" s="64"/>
      <c r="AC38" s="64"/>
      <c r="AD38" s="64"/>
      <c r="AE38" s="64"/>
      <c r="AF38" s="64"/>
      <c r="AG38" s="2"/>
      <c r="AH38" s="2"/>
      <c r="AI38" s="8"/>
      <c r="AJ38" s="2"/>
      <c r="AK38" s="2"/>
      <c r="AL38" s="6">
        <f t="shared" si="14"/>
        <v>0</v>
      </c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">
        <f t="shared" si="5"/>
        <v>0</v>
      </c>
    </row>
    <row r="39" spans="1:51" s="65" customFormat="1" ht="15" thickBot="1">
      <c r="A39" s="1" t="s">
        <v>100</v>
      </c>
      <c r="B39" s="103" t="s">
        <v>92</v>
      </c>
      <c r="C39" s="63"/>
      <c r="D39" s="103"/>
      <c r="E39" s="101">
        <v>0</v>
      </c>
      <c r="F39" s="101">
        <v>3</v>
      </c>
      <c r="G39" s="101"/>
      <c r="H39" s="101"/>
      <c r="I39" s="101"/>
      <c r="J39" s="101"/>
      <c r="K39" s="101"/>
      <c r="L39" s="101"/>
      <c r="M39" s="101"/>
      <c r="N39" s="101"/>
      <c r="O39" s="100"/>
      <c r="P39" s="2"/>
      <c r="Q39" s="6">
        <f t="shared" si="19"/>
        <v>3</v>
      </c>
      <c r="R39" s="4"/>
      <c r="S39" s="6">
        <v>6</v>
      </c>
      <c r="T39" s="9">
        <f t="shared" si="11"/>
        <v>6</v>
      </c>
      <c r="U39" s="6"/>
      <c r="V39" s="3">
        <f t="shared" si="12"/>
        <v>0</v>
      </c>
      <c r="W39" s="3">
        <f t="shared" si="20"/>
        <v>0</v>
      </c>
      <c r="X39" s="7"/>
      <c r="Y39" s="11"/>
      <c r="Z39" s="64"/>
      <c r="AA39" s="64"/>
      <c r="AB39" s="64"/>
      <c r="AC39" s="64"/>
      <c r="AD39" s="64"/>
      <c r="AE39" s="64"/>
      <c r="AF39" s="64"/>
      <c r="AG39" s="2"/>
      <c r="AH39" s="2"/>
      <c r="AI39" s="8"/>
      <c r="AJ39" s="2"/>
      <c r="AK39" s="2"/>
      <c r="AL39" s="6">
        <f t="shared" si="14"/>
        <v>0</v>
      </c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">
        <f t="shared" si="5"/>
        <v>0</v>
      </c>
    </row>
    <row r="40" spans="1:51" s="65" customFormat="1" ht="15" thickBot="1">
      <c r="A40" s="1" t="s">
        <v>100</v>
      </c>
      <c r="B40" s="103" t="s">
        <v>93</v>
      </c>
      <c r="C40" s="63"/>
      <c r="D40" s="103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0"/>
      <c r="P40" s="2"/>
      <c r="Q40" s="6">
        <f t="shared" si="19"/>
        <v>0</v>
      </c>
      <c r="R40" s="4"/>
      <c r="S40" s="6">
        <v>0</v>
      </c>
      <c r="T40" s="9">
        <f t="shared" si="11"/>
        <v>0</v>
      </c>
      <c r="U40" s="6"/>
      <c r="V40" s="3">
        <f t="shared" si="12"/>
        <v>0</v>
      </c>
      <c r="W40" s="3">
        <f t="shared" si="20"/>
        <v>0</v>
      </c>
      <c r="X40" s="7"/>
      <c r="Y40" s="11"/>
      <c r="Z40" s="64"/>
      <c r="AA40" s="64"/>
      <c r="AB40" s="64"/>
      <c r="AC40" s="64"/>
      <c r="AD40" s="64"/>
      <c r="AE40" s="64"/>
      <c r="AF40" s="64"/>
      <c r="AG40" s="2"/>
      <c r="AH40" s="2"/>
      <c r="AI40" s="8"/>
      <c r="AJ40" s="2"/>
      <c r="AK40" s="2"/>
      <c r="AL40" s="6">
        <f t="shared" si="14"/>
        <v>0</v>
      </c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">
        <f t="shared" si="5"/>
        <v>0</v>
      </c>
    </row>
    <row r="41" spans="1:51" s="65" customFormat="1" ht="15" thickBot="1">
      <c r="A41" s="1" t="s">
        <v>100</v>
      </c>
      <c r="B41" s="103" t="s">
        <v>94</v>
      </c>
      <c r="C41" s="63"/>
      <c r="D41" s="103"/>
      <c r="E41" s="101">
        <v>1</v>
      </c>
      <c r="F41" s="101">
        <v>0</v>
      </c>
      <c r="G41" s="101"/>
      <c r="H41" s="101"/>
      <c r="I41" s="101"/>
      <c r="J41" s="101"/>
      <c r="K41" s="101"/>
      <c r="L41" s="101"/>
      <c r="M41" s="101"/>
      <c r="N41" s="101"/>
      <c r="O41" s="100"/>
      <c r="P41" s="2"/>
      <c r="Q41" s="6">
        <f t="shared" si="19"/>
        <v>1</v>
      </c>
      <c r="R41" s="4"/>
      <c r="S41" s="6">
        <v>3</v>
      </c>
      <c r="T41" s="9">
        <f t="shared" si="11"/>
        <v>3</v>
      </c>
      <c r="U41" s="6"/>
      <c r="V41" s="3">
        <f t="shared" si="12"/>
        <v>0</v>
      </c>
      <c r="W41" s="3">
        <f t="shared" si="20"/>
        <v>0</v>
      </c>
      <c r="X41" s="7"/>
      <c r="Y41" s="11"/>
      <c r="Z41" s="64">
        <v>0</v>
      </c>
      <c r="AA41" s="64"/>
      <c r="AB41" s="64"/>
      <c r="AC41" s="64"/>
      <c r="AD41" s="64"/>
      <c r="AE41" s="64"/>
      <c r="AF41" s="64"/>
      <c r="AG41" s="2"/>
      <c r="AH41" s="2"/>
      <c r="AI41" s="8"/>
      <c r="AJ41" s="2"/>
      <c r="AK41" s="2"/>
      <c r="AL41" s="6">
        <f t="shared" si="14"/>
        <v>0</v>
      </c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">
        <f t="shared" si="5"/>
        <v>0</v>
      </c>
    </row>
    <row r="42" spans="1:51" s="65" customFormat="1" ht="15" thickBot="1">
      <c r="A42" s="1" t="s">
        <v>100</v>
      </c>
      <c r="B42" s="103" t="s">
        <v>95</v>
      </c>
      <c r="C42" s="63"/>
      <c r="D42" s="103"/>
      <c r="E42" s="101">
        <v>2</v>
      </c>
      <c r="F42" s="101">
        <v>6</v>
      </c>
      <c r="G42" s="101"/>
      <c r="H42" s="101"/>
      <c r="I42" s="101"/>
      <c r="J42" s="101"/>
      <c r="K42" s="101"/>
      <c r="L42" s="101"/>
      <c r="M42" s="101"/>
      <c r="N42" s="101"/>
      <c r="O42" s="100"/>
      <c r="P42" s="2"/>
      <c r="Q42" s="6">
        <f t="shared" si="19"/>
        <v>8</v>
      </c>
      <c r="R42" s="4"/>
      <c r="S42" s="6">
        <v>13</v>
      </c>
      <c r="T42" s="9">
        <f t="shared" si="11"/>
        <v>13</v>
      </c>
      <c r="U42" s="6"/>
      <c r="V42" s="3">
        <f t="shared" si="12"/>
        <v>0</v>
      </c>
      <c r="W42" s="3">
        <f t="shared" si="20"/>
        <v>0</v>
      </c>
      <c r="X42" s="7"/>
      <c r="Y42" s="11"/>
      <c r="Z42" s="64">
        <v>0</v>
      </c>
      <c r="AA42" s="64"/>
      <c r="AB42" s="64"/>
      <c r="AC42" s="64"/>
      <c r="AD42" s="64"/>
      <c r="AE42" s="64"/>
      <c r="AF42" s="64"/>
      <c r="AG42" s="2"/>
      <c r="AH42" s="2"/>
      <c r="AI42" s="8"/>
      <c r="AJ42" s="2"/>
      <c r="AK42" s="2"/>
      <c r="AL42" s="6">
        <f t="shared" si="14"/>
        <v>0</v>
      </c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">
        <f t="shared" si="5"/>
        <v>0</v>
      </c>
    </row>
    <row r="43" spans="1:51" s="65" customFormat="1" ht="15" thickBot="1">
      <c r="A43" s="1" t="s">
        <v>100</v>
      </c>
      <c r="B43" s="103" t="s">
        <v>96</v>
      </c>
      <c r="C43" s="63"/>
      <c r="D43" s="103"/>
      <c r="E43" s="101">
        <v>0</v>
      </c>
      <c r="F43" s="101">
        <v>0</v>
      </c>
      <c r="G43" s="101"/>
      <c r="H43" s="101"/>
      <c r="I43" s="101"/>
      <c r="J43" s="101"/>
      <c r="K43" s="101"/>
      <c r="L43" s="101"/>
      <c r="M43" s="101"/>
      <c r="N43" s="101"/>
      <c r="O43" s="100"/>
      <c r="P43" s="2"/>
      <c r="Q43" s="6">
        <f t="shared" si="19"/>
        <v>0</v>
      </c>
      <c r="R43" s="4"/>
      <c r="S43" s="6">
        <v>6</v>
      </c>
      <c r="T43" s="9">
        <f t="shared" si="11"/>
        <v>6</v>
      </c>
      <c r="U43" s="6"/>
      <c r="V43" s="3">
        <f t="shared" si="12"/>
        <v>0</v>
      </c>
      <c r="W43" s="3">
        <f t="shared" si="20"/>
        <v>0</v>
      </c>
      <c r="X43" s="7"/>
      <c r="Y43" s="11"/>
      <c r="Z43" s="64"/>
      <c r="AA43" s="64"/>
      <c r="AB43" s="64"/>
      <c r="AC43" s="64"/>
      <c r="AD43" s="64"/>
      <c r="AE43" s="64"/>
      <c r="AF43" s="64"/>
      <c r="AG43" s="2"/>
      <c r="AH43" s="2"/>
      <c r="AI43" s="8"/>
      <c r="AJ43" s="2"/>
      <c r="AK43" s="2"/>
      <c r="AL43" s="6">
        <f t="shared" si="14"/>
        <v>0</v>
      </c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">
        <f t="shared" si="5"/>
        <v>0</v>
      </c>
    </row>
    <row r="44" spans="1:51" s="65" customFormat="1" ht="15" thickBot="1">
      <c r="A44" s="1" t="s">
        <v>100</v>
      </c>
      <c r="B44" s="103" t="s">
        <v>97</v>
      </c>
      <c r="C44" s="63"/>
      <c r="D44" s="103"/>
      <c r="E44" s="101">
        <v>0</v>
      </c>
      <c r="F44" s="101"/>
      <c r="G44" s="101"/>
      <c r="H44" s="101"/>
      <c r="I44" s="101"/>
      <c r="J44" s="101"/>
      <c r="K44" s="101"/>
      <c r="L44" s="101"/>
      <c r="M44" s="101"/>
      <c r="N44" s="101"/>
      <c r="O44" s="100"/>
      <c r="P44" s="2"/>
      <c r="Q44" s="6">
        <f t="shared" si="19"/>
        <v>0</v>
      </c>
      <c r="R44" s="4"/>
      <c r="S44" s="6">
        <v>1</v>
      </c>
      <c r="T44" s="9">
        <f t="shared" si="11"/>
        <v>1</v>
      </c>
      <c r="U44" s="6"/>
      <c r="V44" s="3">
        <f t="shared" si="12"/>
        <v>0</v>
      </c>
      <c r="W44" s="3">
        <f t="shared" si="20"/>
        <v>0</v>
      </c>
      <c r="X44" s="7"/>
      <c r="Y44" s="11"/>
      <c r="Z44" s="64"/>
      <c r="AA44" s="64"/>
      <c r="AB44" s="64"/>
      <c r="AC44" s="64"/>
      <c r="AD44" s="64"/>
      <c r="AE44" s="64"/>
      <c r="AF44" s="64"/>
      <c r="AG44" s="2"/>
      <c r="AH44" s="2"/>
      <c r="AI44" s="8"/>
      <c r="AJ44" s="2"/>
      <c r="AK44" s="2"/>
      <c r="AL44" s="6">
        <f t="shared" si="14"/>
        <v>0</v>
      </c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">
        <f t="shared" si="5"/>
        <v>0</v>
      </c>
    </row>
    <row r="45" spans="1:51" s="65" customFormat="1" ht="15" thickBot="1">
      <c r="A45" s="1" t="s">
        <v>100</v>
      </c>
      <c r="B45" s="103" t="s">
        <v>98</v>
      </c>
      <c r="C45" s="63"/>
      <c r="D45" s="103"/>
      <c r="E45" s="101">
        <v>0</v>
      </c>
      <c r="F45" s="101">
        <v>0</v>
      </c>
      <c r="G45" s="101"/>
      <c r="H45" s="101"/>
      <c r="I45" s="101"/>
      <c r="J45" s="101"/>
      <c r="K45" s="101"/>
      <c r="L45" s="101"/>
      <c r="M45" s="101"/>
      <c r="N45" s="101"/>
      <c r="O45" s="100"/>
      <c r="P45" s="2"/>
      <c r="Q45" s="6">
        <f t="shared" si="19"/>
        <v>0</v>
      </c>
      <c r="R45" s="4"/>
      <c r="S45" s="6">
        <v>4</v>
      </c>
      <c r="T45" s="9">
        <f t="shared" si="11"/>
        <v>4</v>
      </c>
      <c r="U45" s="6"/>
      <c r="V45" s="3">
        <f t="shared" si="12"/>
        <v>0</v>
      </c>
      <c r="W45" s="3">
        <f t="shared" si="20"/>
        <v>0</v>
      </c>
      <c r="X45" s="7"/>
      <c r="Y45" s="11"/>
      <c r="Z45" s="64">
        <v>0</v>
      </c>
      <c r="AA45" s="64">
        <v>0</v>
      </c>
      <c r="AB45" s="64"/>
      <c r="AC45" s="64"/>
      <c r="AD45" s="64"/>
      <c r="AE45" s="64"/>
      <c r="AF45" s="64"/>
      <c r="AG45" s="2"/>
      <c r="AH45" s="2"/>
      <c r="AI45" s="8"/>
      <c r="AJ45" s="2"/>
      <c r="AK45" s="2"/>
      <c r="AL45" s="6">
        <f t="shared" si="14"/>
        <v>0</v>
      </c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">
        <f t="shared" si="5"/>
        <v>0</v>
      </c>
    </row>
    <row r="46" spans="1:51" s="65" customFormat="1" ht="15" thickBot="1">
      <c r="A46" s="1" t="s">
        <v>100</v>
      </c>
      <c r="B46" s="103" t="s">
        <v>99</v>
      </c>
      <c r="C46" s="63"/>
      <c r="D46" s="103"/>
      <c r="E46" s="101">
        <v>0</v>
      </c>
      <c r="F46" s="101">
        <v>0</v>
      </c>
      <c r="G46" s="101"/>
      <c r="H46" s="101"/>
      <c r="I46" s="101"/>
      <c r="J46" s="101"/>
      <c r="K46" s="101"/>
      <c r="L46" s="101"/>
      <c r="M46" s="101"/>
      <c r="N46" s="101"/>
      <c r="O46" s="100"/>
      <c r="P46" s="2"/>
      <c r="Q46" s="6">
        <f t="shared" si="19"/>
        <v>0</v>
      </c>
      <c r="R46" s="4"/>
      <c r="S46" s="6">
        <v>2</v>
      </c>
      <c r="T46" s="9">
        <f t="shared" si="11"/>
        <v>2</v>
      </c>
      <c r="U46" s="6"/>
      <c r="V46" s="3">
        <f t="shared" si="12"/>
        <v>0</v>
      </c>
      <c r="W46" s="3">
        <f t="shared" si="20"/>
        <v>0</v>
      </c>
      <c r="X46" s="7"/>
      <c r="Y46" s="11"/>
      <c r="Z46" s="64"/>
      <c r="AA46" s="64"/>
      <c r="AB46" s="64"/>
      <c r="AC46" s="64"/>
      <c r="AD46" s="64"/>
      <c r="AE46" s="64"/>
      <c r="AF46" s="64"/>
      <c r="AG46" s="2"/>
      <c r="AH46" s="2"/>
      <c r="AI46" s="8"/>
      <c r="AJ46" s="2"/>
      <c r="AK46" s="2"/>
      <c r="AL46" s="6">
        <f t="shared" si="14"/>
        <v>0</v>
      </c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">
        <f t="shared" si="5"/>
        <v>0</v>
      </c>
    </row>
    <row r="47" spans="1:51" s="65" customFormat="1" ht="15" thickBot="1">
      <c r="A47" s="196" t="s">
        <v>220</v>
      </c>
      <c r="B47" s="197"/>
      <c r="C47" s="45">
        <f>+D47/Metas!G37</f>
        <v>0.4043575472146901</v>
      </c>
      <c r="D47" s="19">
        <f>+Q47/R47</f>
        <v>0.008491508491508492</v>
      </c>
      <c r="E47" s="14">
        <f aca="true" t="shared" si="21" ref="E47:P47">SUM(E37:E46)</f>
        <v>6</v>
      </c>
      <c r="F47" s="14">
        <f t="shared" si="21"/>
        <v>11</v>
      </c>
      <c r="G47" s="14">
        <f t="shared" si="21"/>
        <v>0</v>
      </c>
      <c r="H47" s="14">
        <f t="shared" si="21"/>
        <v>0</v>
      </c>
      <c r="I47" s="14">
        <f t="shared" si="21"/>
        <v>0</v>
      </c>
      <c r="J47" s="14">
        <f t="shared" si="21"/>
        <v>0</v>
      </c>
      <c r="K47" s="14">
        <f t="shared" si="21"/>
        <v>0</v>
      </c>
      <c r="L47" s="14">
        <f t="shared" si="21"/>
        <v>0</v>
      </c>
      <c r="M47" s="14">
        <f t="shared" si="21"/>
        <v>0</v>
      </c>
      <c r="N47" s="14">
        <f t="shared" si="21"/>
        <v>0</v>
      </c>
      <c r="O47" s="14">
        <f t="shared" si="21"/>
        <v>0</v>
      </c>
      <c r="P47" s="14">
        <f t="shared" si="21"/>
        <v>0</v>
      </c>
      <c r="Q47" s="14">
        <f>SUM(Q37:Q46)</f>
        <v>17</v>
      </c>
      <c r="R47" s="15">
        <f>+Y47-T47</f>
        <v>2002</v>
      </c>
      <c r="S47" s="13">
        <f aca="true" t="shared" si="22" ref="S47:X47">SUM(S37:S46)</f>
        <v>49</v>
      </c>
      <c r="T47" s="13">
        <f t="shared" si="22"/>
        <v>49</v>
      </c>
      <c r="U47" s="13">
        <f t="shared" si="22"/>
        <v>0</v>
      </c>
      <c r="V47" s="13">
        <f t="shared" si="22"/>
        <v>0</v>
      </c>
      <c r="W47" s="13">
        <f t="shared" si="22"/>
        <v>0</v>
      </c>
      <c r="X47" s="13">
        <f t="shared" si="22"/>
        <v>0</v>
      </c>
      <c r="Y47" s="16">
        <v>2051</v>
      </c>
      <c r="Z47" s="13">
        <f>SUM(Z37:Z46)</f>
        <v>0</v>
      </c>
      <c r="AA47" s="13">
        <f aca="true" t="shared" si="23" ref="AA47:AK47">SUM(AA37:AA46)</f>
        <v>0</v>
      </c>
      <c r="AB47" s="13">
        <f t="shared" si="23"/>
        <v>0</v>
      </c>
      <c r="AC47" s="13">
        <f t="shared" si="23"/>
        <v>0</v>
      </c>
      <c r="AD47" s="13">
        <f t="shared" si="23"/>
        <v>0</v>
      </c>
      <c r="AE47" s="13">
        <f t="shared" si="23"/>
        <v>0</v>
      </c>
      <c r="AF47" s="13">
        <f t="shared" si="23"/>
        <v>0</v>
      </c>
      <c r="AG47" s="13">
        <f t="shared" si="23"/>
        <v>0</v>
      </c>
      <c r="AH47" s="13">
        <f t="shared" si="23"/>
        <v>0</v>
      </c>
      <c r="AI47" s="13">
        <f t="shared" si="23"/>
        <v>0</v>
      </c>
      <c r="AJ47" s="13">
        <f t="shared" si="23"/>
        <v>0</v>
      </c>
      <c r="AK47" s="13">
        <f t="shared" si="23"/>
        <v>0</v>
      </c>
      <c r="AL47" s="13">
        <f t="shared" si="14"/>
        <v>0</v>
      </c>
      <c r="AM47" s="13">
        <f aca="true" t="shared" si="24" ref="AM47:AX47">SUM(AM37:AM46)</f>
        <v>0</v>
      </c>
      <c r="AN47" s="13">
        <f t="shared" si="24"/>
        <v>0</v>
      </c>
      <c r="AO47" s="13">
        <f t="shared" si="24"/>
        <v>0</v>
      </c>
      <c r="AP47" s="13">
        <f t="shared" si="24"/>
        <v>0</v>
      </c>
      <c r="AQ47" s="13">
        <f t="shared" si="24"/>
        <v>0</v>
      </c>
      <c r="AR47" s="13">
        <f t="shared" si="24"/>
        <v>0</v>
      </c>
      <c r="AS47" s="13">
        <f t="shared" si="24"/>
        <v>0</v>
      </c>
      <c r="AT47" s="13">
        <f t="shared" si="24"/>
        <v>0</v>
      </c>
      <c r="AU47" s="13">
        <f t="shared" si="24"/>
        <v>0</v>
      </c>
      <c r="AV47" s="13">
        <f t="shared" si="24"/>
        <v>0</v>
      </c>
      <c r="AW47" s="13">
        <f t="shared" si="24"/>
        <v>0</v>
      </c>
      <c r="AX47" s="13">
        <f t="shared" si="24"/>
        <v>0</v>
      </c>
      <c r="AY47" s="13">
        <f t="shared" si="5"/>
        <v>0</v>
      </c>
    </row>
    <row r="48" spans="1:51" s="65" customFormat="1" ht="15" thickBot="1">
      <c r="A48" s="1" t="s">
        <v>114</v>
      </c>
      <c r="B48" s="103" t="s">
        <v>101</v>
      </c>
      <c r="C48" s="63"/>
      <c r="D48" s="103"/>
      <c r="E48" s="104">
        <v>33</v>
      </c>
      <c r="F48" s="104">
        <v>11</v>
      </c>
      <c r="G48" s="104"/>
      <c r="H48" s="104"/>
      <c r="I48" s="104"/>
      <c r="J48" s="104"/>
      <c r="K48" s="104"/>
      <c r="L48" s="104"/>
      <c r="M48" s="104"/>
      <c r="N48" s="104"/>
      <c r="O48" s="94"/>
      <c r="P48" s="2"/>
      <c r="Q48" s="6">
        <f aca="true" t="shared" si="25" ref="Q48:Q60">SUM(E48:P48)</f>
        <v>44</v>
      </c>
      <c r="R48" s="4"/>
      <c r="S48" s="6">
        <v>23</v>
      </c>
      <c r="T48" s="9">
        <f t="shared" si="11"/>
        <v>25</v>
      </c>
      <c r="U48" s="6"/>
      <c r="V48" s="3">
        <f t="shared" si="12"/>
        <v>0</v>
      </c>
      <c r="W48" s="3">
        <f aca="true" t="shared" si="26" ref="W48:W60">+U48+(AF48+AG48+AH48+AI48)-(AS48+AT48+AU48+AV48)</f>
        <v>0</v>
      </c>
      <c r="X48" s="7"/>
      <c r="Y48" s="11"/>
      <c r="Z48" s="101">
        <v>2</v>
      </c>
      <c r="AA48" s="101">
        <v>0</v>
      </c>
      <c r="AB48" s="101"/>
      <c r="AC48" s="101"/>
      <c r="AD48" s="101"/>
      <c r="AE48" s="101"/>
      <c r="AF48" s="101"/>
      <c r="AG48" s="100"/>
      <c r="AH48" s="100"/>
      <c r="AI48" s="102"/>
      <c r="AJ48" s="100"/>
      <c r="AK48" s="100"/>
      <c r="AL48" s="6">
        <f t="shared" si="14"/>
        <v>2</v>
      </c>
      <c r="AM48" s="101">
        <v>0</v>
      </c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6">
        <f t="shared" si="5"/>
        <v>0</v>
      </c>
    </row>
    <row r="49" spans="1:51" s="65" customFormat="1" ht="15" thickBot="1">
      <c r="A49" s="1" t="s">
        <v>114</v>
      </c>
      <c r="B49" s="103" t="s">
        <v>102</v>
      </c>
      <c r="C49" s="63"/>
      <c r="D49" s="103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94"/>
      <c r="P49" s="2"/>
      <c r="Q49" s="6">
        <f t="shared" si="25"/>
        <v>0</v>
      </c>
      <c r="R49" s="4"/>
      <c r="S49" s="6">
        <v>6</v>
      </c>
      <c r="T49" s="9">
        <f t="shared" si="11"/>
        <v>6</v>
      </c>
      <c r="U49" s="6"/>
      <c r="V49" s="3">
        <f t="shared" si="12"/>
        <v>0</v>
      </c>
      <c r="W49" s="3">
        <f t="shared" si="26"/>
        <v>0</v>
      </c>
      <c r="X49" s="7"/>
      <c r="Y49" s="11"/>
      <c r="Z49" s="101"/>
      <c r="AA49" s="101"/>
      <c r="AB49" s="101"/>
      <c r="AC49" s="101"/>
      <c r="AD49" s="101"/>
      <c r="AE49" s="101"/>
      <c r="AF49" s="101"/>
      <c r="AG49" s="100"/>
      <c r="AH49" s="100"/>
      <c r="AI49" s="102"/>
      <c r="AJ49" s="100"/>
      <c r="AK49" s="100"/>
      <c r="AL49" s="6">
        <f t="shared" si="14"/>
        <v>0</v>
      </c>
      <c r="AM49" s="101"/>
      <c r="AN49" s="101">
        <v>0</v>
      </c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6">
        <f t="shared" si="5"/>
        <v>0</v>
      </c>
    </row>
    <row r="50" spans="1:51" s="65" customFormat="1" ht="15" thickBot="1">
      <c r="A50" s="1" t="s">
        <v>114</v>
      </c>
      <c r="B50" s="103" t="s">
        <v>103</v>
      </c>
      <c r="C50" s="63"/>
      <c r="D50" s="103"/>
      <c r="E50" s="104">
        <v>7</v>
      </c>
      <c r="F50" s="104">
        <v>3</v>
      </c>
      <c r="G50" s="104"/>
      <c r="H50" s="104"/>
      <c r="I50" s="104"/>
      <c r="J50" s="104"/>
      <c r="K50" s="104"/>
      <c r="L50" s="104"/>
      <c r="M50" s="104"/>
      <c r="N50" s="104"/>
      <c r="O50" s="94"/>
      <c r="P50" s="2"/>
      <c r="Q50" s="6">
        <f t="shared" si="25"/>
        <v>10</v>
      </c>
      <c r="R50" s="4"/>
      <c r="S50" s="6">
        <v>2</v>
      </c>
      <c r="T50" s="9">
        <f t="shared" si="11"/>
        <v>2</v>
      </c>
      <c r="U50" s="6"/>
      <c r="V50" s="3">
        <f t="shared" si="12"/>
        <v>0</v>
      </c>
      <c r="W50" s="3">
        <f t="shared" si="26"/>
        <v>0</v>
      </c>
      <c r="X50" s="7"/>
      <c r="Y50" s="11"/>
      <c r="Z50" s="101"/>
      <c r="AA50" s="101"/>
      <c r="AB50" s="101"/>
      <c r="AC50" s="101"/>
      <c r="AD50" s="101"/>
      <c r="AE50" s="101"/>
      <c r="AF50" s="101"/>
      <c r="AG50" s="100"/>
      <c r="AH50" s="100"/>
      <c r="AI50" s="102"/>
      <c r="AJ50" s="100"/>
      <c r="AK50" s="100"/>
      <c r="AL50" s="6">
        <f t="shared" si="14"/>
        <v>0</v>
      </c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6">
        <f t="shared" si="5"/>
        <v>0</v>
      </c>
    </row>
    <row r="51" spans="1:51" s="65" customFormat="1" ht="15" thickBot="1">
      <c r="A51" s="1" t="s">
        <v>114</v>
      </c>
      <c r="B51" s="103" t="s">
        <v>104</v>
      </c>
      <c r="C51" s="63"/>
      <c r="D51" s="103"/>
      <c r="E51" s="104">
        <v>2</v>
      </c>
      <c r="F51" s="104">
        <v>2</v>
      </c>
      <c r="G51" s="104"/>
      <c r="H51" s="104"/>
      <c r="I51" s="104"/>
      <c r="J51" s="104"/>
      <c r="K51" s="104"/>
      <c r="L51" s="104"/>
      <c r="M51" s="104"/>
      <c r="N51" s="104"/>
      <c r="O51" s="94"/>
      <c r="P51" s="2"/>
      <c r="Q51" s="6">
        <f t="shared" si="25"/>
        <v>4</v>
      </c>
      <c r="R51" s="4"/>
      <c r="S51" s="6">
        <v>3</v>
      </c>
      <c r="T51" s="9">
        <f t="shared" si="11"/>
        <v>3</v>
      </c>
      <c r="U51" s="6"/>
      <c r="V51" s="3">
        <f t="shared" si="12"/>
        <v>0</v>
      </c>
      <c r="W51" s="3">
        <f t="shared" si="26"/>
        <v>0</v>
      </c>
      <c r="X51" s="7"/>
      <c r="Y51" s="11"/>
      <c r="Z51" s="101"/>
      <c r="AA51" s="101"/>
      <c r="AB51" s="101"/>
      <c r="AC51" s="101"/>
      <c r="AD51" s="101"/>
      <c r="AE51" s="101"/>
      <c r="AF51" s="101"/>
      <c r="AG51" s="100"/>
      <c r="AH51" s="100"/>
      <c r="AI51" s="102"/>
      <c r="AJ51" s="100"/>
      <c r="AK51" s="100"/>
      <c r="AL51" s="6">
        <f t="shared" si="14"/>
        <v>0</v>
      </c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6">
        <f>SUM(AM51:AX51)</f>
        <v>0</v>
      </c>
    </row>
    <row r="52" spans="1:51" s="65" customFormat="1" ht="15" thickBot="1">
      <c r="A52" s="1" t="s">
        <v>114</v>
      </c>
      <c r="B52" s="103" t="s">
        <v>105</v>
      </c>
      <c r="C52" s="63"/>
      <c r="D52" s="103"/>
      <c r="E52" s="105"/>
      <c r="F52" s="104"/>
      <c r="G52" s="104"/>
      <c r="H52" s="104"/>
      <c r="I52" s="104"/>
      <c r="J52" s="104"/>
      <c r="K52" s="104"/>
      <c r="L52" s="104"/>
      <c r="M52" s="104"/>
      <c r="N52" s="104"/>
      <c r="O52" s="94"/>
      <c r="P52" s="2"/>
      <c r="Q52" s="6">
        <f t="shared" si="25"/>
        <v>0</v>
      </c>
      <c r="R52" s="4"/>
      <c r="S52" s="6">
        <v>0</v>
      </c>
      <c r="T52" s="9">
        <f t="shared" si="11"/>
        <v>0</v>
      </c>
      <c r="U52" s="6"/>
      <c r="V52" s="3">
        <f t="shared" si="12"/>
        <v>0</v>
      </c>
      <c r="W52" s="3">
        <f t="shared" si="26"/>
        <v>0</v>
      </c>
      <c r="X52" s="7"/>
      <c r="Y52" s="11"/>
      <c r="Z52" s="101"/>
      <c r="AA52" s="101"/>
      <c r="AB52" s="101"/>
      <c r="AC52" s="101"/>
      <c r="AD52" s="101"/>
      <c r="AE52" s="101"/>
      <c r="AF52" s="101"/>
      <c r="AG52" s="100"/>
      <c r="AH52" s="100"/>
      <c r="AI52" s="102"/>
      <c r="AJ52" s="100"/>
      <c r="AK52" s="100"/>
      <c r="AL52" s="6">
        <f t="shared" si="14"/>
        <v>0</v>
      </c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6">
        <f t="shared" si="5"/>
        <v>0</v>
      </c>
    </row>
    <row r="53" spans="1:51" s="65" customFormat="1" ht="15" thickBot="1">
      <c r="A53" s="1" t="s">
        <v>114</v>
      </c>
      <c r="B53" s="103" t="s">
        <v>106</v>
      </c>
      <c r="C53" s="63"/>
      <c r="D53" s="103"/>
      <c r="E53" s="104">
        <v>0</v>
      </c>
      <c r="F53" s="104"/>
      <c r="G53" s="104"/>
      <c r="H53" s="104"/>
      <c r="I53" s="104"/>
      <c r="J53" s="104"/>
      <c r="K53" s="104"/>
      <c r="L53" s="104"/>
      <c r="M53" s="104"/>
      <c r="N53" s="104"/>
      <c r="O53" s="94"/>
      <c r="P53" s="2"/>
      <c r="Q53" s="6">
        <f t="shared" si="25"/>
        <v>0</v>
      </c>
      <c r="R53" s="4"/>
      <c r="S53" s="6">
        <v>1</v>
      </c>
      <c r="T53" s="9">
        <f t="shared" si="11"/>
        <v>1</v>
      </c>
      <c r="U53" s="6"/>
      <c r="V53" s="3">
        <f t="shared" si="12"/>
        <v>0</v>
      </c>
      <c r="W53" s="3">
        <f t="shared" si="26"/>
        <v>0</v>
      </c>
      <c r="X53" s="7"/>
      <c r="Y53" s="11"/>
      <c r="Z53" s="101"/>
      <c r="AA53" s="101"/>
      <c r="AB53" s="101"/>
      <c r="AC53" s="101"/>
      <c r="AD53" s="101"/>
      <c r="AE53" s="101"/>
      <c r="AF53" s="101"/>
      <c r="AG53" s="100"/>
      <c r="AH53" s="100"/>
      <c r="AI53" s="102"/>
      <c r="AJ53" s="100"/>
      <c r="AK53" s="100"/>
      <c r="AL53" s="6">
        <f t="shared" si="14"/>
        <v>0</v>
      </c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6">
        <f>SUM(AM53:AX53)</f>
        <v>0</v>
      </c>
    </row>
    <row r="54" spans="1:51" s="65" customFormat="1" ht="15" thickBot="1">
      <c r="A54" s="1" t="s">
        <v>114</v>
      </c>
      <c r="B54" s="103" t="s">
        <v>107</v>
      </c>
      <c r="C54" s="63"/>
      <c r="D54" s="103"/>
      <c r="E54" s="104"/>
      <c r="F54" s="104">
        <v>1</v>
      </c>
      <c r="G54" s="104"/>
      <c r="H54" s="104"/>
      <c r="I54" s="104"/>
      <c r="J54" s="104"/>
      <c r="K54" s="104"/>
      <c r="L54" s="104"/>
      <c r="M54" s="104"/>
      <c r="N54" s="104"/>
      <c r="O54" s="94"/>
      <c r="P54" s="2"/>
      <c r="Q54" s="6">
        <f t="shared" si="25"/>
        <v>1</v>
      </c>
      <c r="R54" s="4"/>
      <c r="S54" s="6">
        <v>2</v>
      </c>
      <c r="T54" s="9">
        <f t="shared" si="11"/>
        <v>2</v>
      </c>
      <c r="U54" s="6"/>
      <c r="V54" s="3">
        <f t="shared" si="12"/>
        <v>0</v>
      </c>
      <c r="W54" s="3">
        <f t="shared" si="26"/>
        <v>0</v>
      </c>
      <c r="X54" s="7"/>
      <c r="Y54" s="11"/>
      <c r="Z54" s="101"/>
      <c r="AA54" s="101"/>
      <c r="AB54" s="101"/>
      <c r="AC54" s="101"/>
      <c r="AD54" s="101"/>
      <c r="AE54" s="101"/>
      <c r="AF54" s="101"/>
      <c r="AG54" s="100"/>
      <c r="AH54" s="100"/>
      <c r="AI54" s="102"/>
      <c r="AJ54" s="100"/>
      <c r="AK54" s="100"/>
      <c r="AL54" s="6">
        <f t="shared" si="14"/>
        <v>0</v>
      </c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6">
        <f t="shared" si="5"/>
        <v>0</v>
      </c>
    </row>
    <row r="55" spans="1:51" s="65" customFormat="1" ht="15" thickBot="1">
      <c r="A55" s="1" t="s">
        <v>114</v>
      </c>
      <c r="B55" s="103" t="s">
        <v>108</v>
      </c>
      <c r="C55" s="63"/>
      <c r="D55" s="103"/>
      <c r="E55" s="105"/>
      <c r="F55" s="104">
        <v>0</v>
      </c>
      <c r="G55" s="104"/>
      <c r="H55" s="104"/>
      <c r="I55" s="104"/>
      <c r="J55" s="104"/>
      <c r="K55" s="104"/>
      <c r="L55" s="104"/>
      <c r="M55" s="104"/>
      <c r="N55" s="104"/>
      <c r="O55" s="94"/>
      <c r="P55" s="2"/>
      <c r="Q55" s="6">
        <f t="shared" si="25"/>
        <v>0</v>
      </c>
      <c r="R55" s="4"/>
      <c r="S55" s="6">
        <v>1</v>
      </c>
      <c r="T55" s="9">
        <f t="shared" si="11"/>
        <v>1</v>
      </c>
      <c r="U55" s="6"/>
      <c r="V55" s="3">
        <f t="shared" si="12"/>
        <v>0</v>
      </c>
      <c r="W55" s="3">
        <f t="shared" si="26"/>
        <v>0</v>
      </c>
      <c r="X55" s="7"/>
      <c r="Y55" s="11"/>
      <c r="Z55" s="101"/>
      <c r="AA55" s="101"/>
      <c r="AB55" s="101"/>
      <c r="AC55" s="101"/>
      <c r="AD55" s="101"/>
      <c r="AE55" s="101"/>
      <c r="AF55" s="101"/>
      <c r="AG55" s="100"/>
      <c r="AH55" s="100"/>
      <c r="AI55" s="102"/>
      <c r="AJ55" s="100"/>
      <c r="AK55" s="100"/>
      <c r="AL55" s="6">
        <f t="shared" si="14"/>
        <v>0</v>
      </c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6">
        <f t="shared" si="5"/>
        <v>0</v>
      </c>
    </row>
    <row r="56" spans="1:51" s="65" customFormat="1" ht="15" thickBot="1">
      <c r="A56" s="1" t="s">
        <v>114</v>
      </c>
      <c r="B56" s="103" t="s">
        <v>109</v>
      </c>
      <c r="C56" s="63"/>
      <c r="D56" s="103"/>
      <c r="E56" s="104">
        <v>2</v>
      </c>
      <c r="F56" s="104">
        <v>0</v>
      </c>
      <c r="G56" s="104"/>
      <c r="H56" s="104"/>
      <c r="I56" s="104"/>
      <c r="J56" s="104"/>
      <c r="K56" s="104"/>
      <c r="L56" s="104"/>
      <c r="M56" s="104"/>
      <c r="N56" s="104"/>
      <c r="O56" s="94"/>
      <c r="P56" s="2"/>
      <c r="Q56" s="6">
        <f t="shared" si="25"/>
        <v>2</v>
      </c>
      <c r="R56" s="4"/>
      <c r="S56" s="6">
        <v>6</v>
      </c>
      <c r="T56" s="9">
        <f t="shared" si="11"/>
        <v>9</v>
      </c>
      <c r="U56" s="6"/>
      <c r="V56" s="3">
        <f t="shared" si="12"/>
        <v>0</v>
      </c>
      <c r="W56" s="3">
        <f t="shared" si="26"/>
        <v>0</v>
      </c>
      <c r="X56" s="7"/>
      <c r="Y56" s="11"/>
      <c r="Z56" s="101">
        <v>2</v>
      </c>
      <c r="AA56" s="101">
        <v>1</v>
      </c>
      <c r="AB56" s="101"/>
      <c r="AC56" s="101"/>
      <c r="AD56" s="101"/>
      <c r="AE56" s="101"/>
      <c r="AF56" s="101"/>
      <c r="AG56" s="100"/>
      <c r="AH56" s="100"/>
      <c r="AI56" s="102"/>
      <c r="AJ56" s="100"/>
      <c r="AK56" s="100"/>
      <c r="AL56" s="6">
        <f t="shared" si="14"/>
        <v>3</v>
      </c>
      <c r="AM56" s="101"/>
      <c r="AN56" s="101">
        <v>0</v>
      </c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6">
        <f t="shared" si="5"/>
        <v>0</v>
      </c>
    </row>
    <row r="57" spans="1:51" s="65" customFormat="1" ht="15" thickBot="1">
      <c r="A57" s="1" t="s">
        <v>114</v>
      </c>
      <c r="B57" s="103" t="s">
        <v>110</v>
      </c>
      <c r="C57" s="63"/>
      <c r="D57" s="103"/>
      <c r="E57" s="104">
        <v>0</v>
      </c>
      <c r="F57" s="104">
        <v>0</v>
      </c>
      <c r="G57" s="104"/>
      <c r="H57" s="104"/>
      <c r="I57" s="104"/>
      <c r="J57" s="104"/>
      <c r="K57" s="104"/>
      <c r="L57" s="104"/>
      <c r="M57" s="104"/>
      <c r="N57" s="104"/>
      <c r="O57" s="94"/>
      <c r="P57" s="2"/>
      <c r="Q57" s="6">
        <f t="shared" si="25"/>
        <v>0</v>
      </c>
      <c r="R57" s="4"/>
      <c r="S57" s="6">
        <v>0</v>
      </c>
      <c r="T57" s="9">
        <f t="shared" si="11"/>
        <v>0</v>
      </c>
      <c r="U57" s="6"/>
      <c r="V57" s="3">
        <f t="shared" si="12"/>
        <v>0</v>
      </c>
      <c r="W57" s="3">
        <f t="shared" si="26"/>
        <v>0</v>
      </c>
      <c r="X57" s="7"/>
      <c r="Y57" s="11"/>
      <c r="Z57" s="101"/>
      <c r="AA57" s="101"/>
      <c r="AB57" s="101"/>
      <c r="AC57" s="101"/>
      <c r="AD57" s="101"/>
      <c r="AE57" s="101"/>
      <c r="AF57" s="101"/>
      <c r="AG57" s="100"/>
      <c r="AH57" s="100"/>
      <c r="AI57" s="102"/>
      <c r="AJ57" s="100"/>
      <c r="AK57" s="100"/>
      <c r="AL57" s="6">
        <f t="shared" si="14"/>
        <v>0</v>
      </c>
      <c r="AM57" s="101">
        <v>0</v>
      </c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6">
        <f t="shared" si="5"/>
        <v>0</v>
      </c>
    </row>
    <row r="58" spans="1:51" s="65" customFormat="1" ht="15" thickBot="1">
      <c r="A58" s="1" t="s">
        <v>114</v>
      </c>
      <c r="B58" s="103" t="s">
        <v>111</v>
      </c>
      <c r="C58" s="63"/>
      <c r="D58" s="103"/>
      <c r="E58" s="104">
        <v>4</v>
      </c>
      <c r="F58" s="104">
        <v>9</v>
      </c>
      <c r="G58" s="104"/>
      <c r="H58" s="104"/>
      <c r="I58" s="104"/>
      <c r="J58" s="104"/>
      <c r="K58" s="104"/>
      <c r="L58" s="104"/>
      <c r="M58" s="104"/>
      <c r="N58" s="104"/>
      <c r="O58" s="94"/>
      <c r="P58" s="2"/>
      <c r="Q58" s="6">
        <f>SUM(E58:P58)</f>
        <v>13</v>
      </c>
      <c r="R58" s="4"/>
      <c r="S58" s="6">
        <v>9</v>
      </c>
      <c r="T58" s="9">
        <f t="shared" si="11"/>
        <v>10</v>
      </c>
      <c r="U58" s="6"/>
      <c r="V58" s="3">
        <f t="shared" si="12"/>
        <v>0</v>
      </c>
      <c r="W58" s="3">
        <f t="shared" si="26"/>
        <v>0</v>
      </c>
      <c r="X58" s="7"/>
      <c r="Y58" s="11"/>
      <c r="Z58" s="101">
        <v>1</v>
      </c>
      <c r="AA58" s="101">
        <v>0</v>
      </c>
      <c r="AB58" s="101"/>
      <c r="AC58" s="101"/>
      <c r="AD58" s="101"/>
      <c r="AE58" s="101"/>
      <c r="AF58" s="101"/>
      <c r="AG58" s="100"/>
      <c r="AH58" s="100"/>
      <c r="AI58" s="102"/>
      <c r="AJ58" s="100"/>
      <c r="AK58" s="100"/>
      <c r="AL58" s="6">
        <f t="shared" si="14"/>
        <v>1</v>
      </c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6">
        <f t="shared" si="5"/>
        <v>0</v>
      </c>
    </row>
    <row r="59" spans="1:51" s="65" customFormat="1" ht="15" thickBot="1">
      <c r="A59" s="1" t="s">
        <v>114</v>
      </c>
      <c r="B59" s="103" t="s">
        <v>112</v>
      </c>
      <c r="C59" s="63"/>
      <c r="D59" s="103"/>
      <c r="E59" s="104">
        <v>0</v>
      </c>
      <c r="F59" s="104"/>
      <c r="G59" s="104"/>
      <c r="H59" s="104"/>
      <c r="I59" s="104"/>
      <c r="J59" s="104"/>
      <c r="K59" s="104"/>
      <c r="L59" s="104"/>
      <c r="M59" s="104"/>
      <c r="N59" s="104"/>
      <c r="O59" s="94"/>
      <c r="P59" s="2"/>
      <c r="Q59" s="6">
        <f>SUM(E59:P59)</f>
        <v>0</v>
      </c>
      <c r="R59" s="4"/>
      <c r="S59" s="6">
        <v>0</v>
      </c>
      <c r="T59" s="9">
        <f t="shared" si="11"/>
        <v>0</v>
      </c>
      <c r="U59" s="6"/>
      <c r="V59" s="3">
        <f t="shared" si="12"/>
        <v>0</v>
      </c>
      <c r="W59" s="3">
        <f t="shared" si="26"/>
        <v>0</v>
      </c>
      <c r="X59" s="7"/>
      <c r="Y59" s="11"/>
      <c r="Z59" s="101">
        <v>0</v>
      </c>
      <c r="AA59" s="101"/>
      <c r="AB59" s="101"/>
      <c r="AC59" s="101"/>
      <c r="AD59" s="101"/>
      <c r="AE59" s="101"/>
      <c r="AF59" s="101"/>
      <c r="AG59" s="100"/>
      <c r="AH59" s="100"/>
      <c r="AI59" s="102"/>
      <c r="AJ59" s="100"/>
      <c r="AK59" s="100"/>
      <c r="AL59" s="6">
        <f t="shared" si="14"/>
        <v>0</v>
      </c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6">
        <f t="shared" si="5"/>
        <v>0</v>
      </c>
    </row>
    <row r="60" spans="1:51" s="65" customFormat="1" ht="21" customHeight="1" thickBot="1">
      <c r="A60" s="1" t="s">
        <v>114</v>
      </c>
      <c r="B60" s="103" t="s">
        <v>113</v>
      </c>
      <c r="C60" s="63"/>
      <c r="D60" s="103"/>
      <c r="E60" s="104">
        <v>0</v>
      </c>
      <c r="F60" s="104">
        <v>0</v>
      </c>
      <c r="G60" s="104"/>
      <c r="H60" s="104"/>
      <c r="I60" s="104"/>
      <c r="J60" s="104"/>
      <c r="K60" s="104"/>
      <c r="L60" s="104"/>
      <c r="M60" s="104"/>
      <c r="N60" s="104"/>
      <c r="O60" s="94"/>
      <c r="P60" s="2"/>
      <c r="Q60" s="6">
        <f t="shared" si="25"/>
        <v>0</v>
      </c>
      <c r="R60" s="4"/>
      <c r="S60" s="6">
        <v>3</v>
      </c>
      <c r="T60" s="9">
        <f t="shared" si="11"/>
        <v>3</v>
      </c>
      <c r="U60" s="6"/>
      <c r="V60" s="3">
        <f t="shared" si="12"/>
        <v>0</v>
      </c>
      <c r="W60" s="3">
        <f t="shared" si="26"/>
        <v>0</v>
      </c>
      <c r="X60" s="7"/>
      <c r="Y60" s="11"/>
      <c r="Z60" s="101"/>
      <c r="AA60" s="101"/>
      <c r="AB60" s="101"/>
      <c r="AC60" s="101"/>
      <c r="AD60" s="101"/>
      <c r="AE60" s="101"/>
      <c r="AF60" s="101"/>
      <c r="AG60" s="100"/>
      <c r="AH60" s="100"/>
      <c r="AI60" s="102"/>
      <c r="AJ60" s="100"/>
      <c r="AK60" s="100"/>
      <c r="AL60" s="6">
        <f t="shared" si="14"/>
        <v>0</v>
      </c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6">
        <f t="shared" si="5"/>
        <v>0</v>
      </c>
    </row>
    <row r="61" spans="1:51" s="65" customFormat="1" ht="15" thickBot="1">
      <c r="A61" s="196" t="s">
        <v>221</v>
      </c>
      <c r="B61" s="197"/>
      <c r="C61" s="45">
        <f>+D61/Metas!G29</f>
        <v>1.438988818667963</v>
      </c>
      <c r="D61" s="19">
        <f>+Q61/R61</f>
        <v>0.03597472046669908</v>
      </c>
      <c r="E61" s="14">
        <f aca="true" t="shared" si="27" ref="E61:P61">SUM(E48:E60)</f>
        <v>48</v>
      </c>
      <c r="F61" s="14">
        <f t="shared" si="27"/>
        <v>26</v>
      </c>
      <c r="G61" s="14">
        <f t="shared" si="27"/>
        <v>0</v>
      </c>
      <c r="H61" s="14">
        <f t="shared" si="27"/>
        <v>0</v>
      </c>
      <c r="I61" s="14">
        <f t="shared" si="27"/>
        <v>0</v>
      </c>
      <c r="J61" s="14">
        <f t="shared" si="27"/>
        <v>0</v>
      </c>
      <c r="K61" s="14">
        <f t="shared" si="27"/>
        <v>0</v>
      </c>
      <c r="L61" s="14">
        <f t="shared" si="27"/>
        <v>0</v>
      </c>
      <c r="M61" s="14">
        <f t="shared" si="27"/>
        <v>0</v>
      </c>
      <c r="N61" s="14">
        <f t="shared" si="27"/>
        <v>0</v>
      </c>
      <c r="O61" s="14">
        <f t="shared" si="27"/>
        <v>0</v>
      </c>
      <c r="P61" s="14">
        <f t="shared" si="27"/>
        <v>0</v>
      </c>
      <c r="Q61" s="14">
        <f>SUM(Q48:Q60)</f>
        <v>74</v>
      </c>
      <c r="R61" s="15">
        <f>+Y61-T61</f>
        <v>2057</v>
      </c>
      <c r="S61" s="13">
        <f aca="true" t="shared" si="28" ref="S61:X61">SUM(S48:S60)</f>
        <v>56</v>
      </c>
      <c r="T61" s="13">
        <f t="shared" si="28"/>
        <v>62</v>
      </c>
      <c r="U61" s="13">
        <f t="shared" si="28"/>
        <v>0</v>
      </c>
      <c r="V61" s="13">
        <f t="shared" si="28"/>
        <v>0</v>
      </c>
      <c r="W61" s="13">
        <f t="shared" si="28"/>
        <v>0</v>
      </c>
      <c r="X61" s="13">
        <f t="shared" si="28"/>
        <v>0</v>
      </c>
      <c r="Y61" s="16">
        <v>2119</v>
      </c>
      <c r="Z61" s="13">
        <f>SUM(Z48:Z60)</f>
        <v>5</v>
      </c>
      <c r="AA61" s="13">
        <f aca="true" t="shared" si="29" ref="AA61:AK61">SUM(AA48:AA60)</f>
        <v>1</v>
      </c>
      <c r="AB61" s="13">
        <f t="shared" si="29"/>
        <v>0</v>
      </c>
      <c r="AC61" s="13">
        <f t="shared" si="29"/>
        <v>0</v>
      </c>
      <c r="AD61" s="13">
        <f t="shared" si="29"/>
        <v>0</v>
      </c>
      <c r="AE61" s="13">
        <f t="shared" si="29"/>
        <v>0</v>
      </c>
      <c r="AF61" s="13">
        <f t="shared" si="29"/>
        <v>0</v>
      </c>
      <c r="AG61" s="13">
        <f t="shared" si="29"/>
        <v>0</v>
      </c>
      <c r="AH61" s="13">
        <f t="shared" si="29"/>
        <v>0</v>
      </c>
      <c r="AI61" s="13">
        <f t="shared" si="29"/>
        <v>0</v>
      </c>
      <c r="AJ61" s="13">
        <f t="shared" si="29"/>
        <v>0</v>
      </c>
      <c r="AK61" s="13">
        <f t="shared" si="29"/>
        <v>0</v>
      </c>
      <c r="AL61" s="13">
        <f t="shared" si="14"/>
        <v>6</v>
      </c>
      <c r="AM61" s="13">
        <f aca="true" t="shared" si="30" ref="AM61:AX61">SUM(AM48:AM60)</f>
        <v>0</v>
      </c>
      <c r="AN61" s="13">
        <f t="shared" si="30"/>
        <v>0</v>
      </c>
      <c r="AO61" s="13">
        <f t="shared" si="30"/>
        <v>0</v>
      </c>
      <c r="AP61" s="13">
        <f t="shared" si="30"/>
        <v>0</v>
      </c>
      <c r="AQ61" s="13">
        <f t="shared" si="30"/>
        <v>0</v>
      </c>
      <c r="AR61" s="13">
        <f t="shared" si="30"/>
        <v>0</v>
      </c>
      <c r="AS61" s="13">
        <f t="shared" si="30"/>
        <v>0</v>
      </c>
      <c r="AT61" s="13">
        <f t="shared" si="30"/>
        <v>0</v>
      </c>
      <c r="AU61" s="13">
        <f t="shared" si="30"/>
        <v>0</v>
      </c>
      <c r="AV61" s="13">
        <f t="shared" si="30"/>
        <v>0</v>
      </c>
      <c r="AW61" s="13">
        <f t="shared" si="30"/>
        <v>0</v>
      </c>
      <c r="AX61" s="13">
        <f t="shared" si="30"/>
        <v>0</v>
      </c>
      <c r="AY61" s="13">
        <f t="shared" si="5"/>
        <v>0</v>
      </c>
    </row>
    <row r="62" spans="1:51" s="65" customFormat="1" ht="15" thickBot="1">
      <c r="A62" s="1" t="s">
        <v>125</v>
      </c>
      <c r="B62" s="103" t="s">
        <v>115</v>
      </c>
      <c r="C62" s="63"/>
      <c r="D62" s="103"/>
      <c r="E62" s="104">
        <v>19</v>
      </c>
      <c r="F62" s="104">
        <v>2</v>
      </c>
      <c r="G62" s="104"/>
      <c r="H62" s="104"/>
      <c r="I62" s="104"/>
      <c r="J62" s="104"/>
      <c r="K62" s="104"/>
      <c r="L62" s="104"/>
      <c r="M62" s="104"/>
      <c r="N62" s="104"/>
      <c r="O62" s="94"/>
      <c r="P62" s="2"/>
      <c r="Q62" s="6">
        <f aca="true" t="shared" si="31" ref="Q62:Q71">SUM(E62:P62)</f>
        <v>21</v>
      </c>
      <c r="R62" s="4"/>
      <c r="S62" s="6">
        <v>26</v>
      </c>
      <c r="T62" s="9">
        <f t="shared" si="11"/>
        <v>27</v>
      </c>
      <c r="U62" s="6"/>
      <c r="V62" s="3">
        <f t="shared" si="12"/>
        <v>0</v>
      </c>
      <c r="W62" s="3">
        <f aca="true" t="shared" si="32" ref="W62:W71">+U62+(AF62+AG62+AH62+AI62)-(AS62+AT62+AU62+AV62)</f>
        <v>0</v>
      </c>
      <c r="X62" s="7"/>
      <c r="Y62" s="11"/>
      <c r="Z62" s="101">
        <v>0</v>
      </c>
      <c r="AA62" s="101">
        <v>1</v>
      </c>
      <c r="AB62" s="101"/>
      <c r="AC62" s="101"/>
      <c r="AD62" s="101"/>
      <c r="AE62" s="101"/>
      <c r="AF62" s="101"/>
      <c r="AG62" s="100"/>
      <c r="AH62" s="100"/>
      <c r="AI62" s="102"/>
      <c r="AJ62" s="100"/>
      <c r="AK62" s="100"/>
      <c r="AL62" s="6">
        <f t="shared" si="14"/>
        <v>1</v>
      </c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6">
        <f t="shared" si="5"/>
        <v>0</v>
      </c>
    </row>
    <row r="63" spans="1:51" s="65" customFormat="1" ht="15" thickBot="1">
      <c r="A63" s="1" t="s">
        <v>125</v>
      </c>
      <c r="B63" s="103" t="s">
        <v>116</v>
      </c>
      <c r="C63" s="63"/>
      <c r="D63" s="103"/>
      <c r="E63" s="104">
        <v>10</v>
      </c>
      <c r="F63" s="104">
        <v>4</v>
      </c>
      <c r="G63" s="104"/>
      <c r="H63" s="104"/>
      <c r="I63" s="104"/>
      <c r="J63" s="104"/>
      <c r="K63" s="104"/>
      <c r="L63" s="104"/>
      <c r="M63" s="104"/>
      <c r="N63" s="104"/>
      <c r="O63" s="94"/>
      <c r="P63" s="2"/>
      <c r="Q63" s="6">
        <f t="shared" si="31"/>
        <v>14</v>
      </c>
      <c r="R63" s="4"/>
      <c r="S63" s="6">
        <v>7</v>
      </c>
      <c r="T63" s="9">
        <f t="shared" si="11"/>
        <v>7</v>
      </c>
      <c r="U63" s="6"/>
      <c r="V63" s="3">
        <f t="shared" si="12"/>
        <v>0</v>
      </c>
      <c r="W63" s="3">
        <f t="shared" si="32"/>
        <v>0</v>
      </c>
      <c r="X63" s="7"/>
      <c r="Y63" s="11"/>
      <c r="Z63" s="101">
        <v>0</v>
      </c>
      <c r="AA63" s="101">
        <v>0</v>
      </c>
      <c r="AB63" s="101"/>
      <c r="AC63" s="101"/>
      <c r="AD63" s="101"/>
      <c r="AE63" s="101"/>
      <c r="AF63" s="101"/>
      <c r="AG63" s="100"/>
      <c r="AH63" s="100"/>
      <c r="AI63" s="102"/>
      <c r="AJ63" s="100"/>
      <c r="AK63" s="100"/>
      <c r="AL63" s="6">
        <f t="shared" si="14"/>
        <v>0</v>
      </c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6">
        <f t="shared" si="5"/>
        <v>0</v>
      </c>
    </row>
    <row r="64" spans="1:51" s="65" customFormat="1" ht="15" thickBot="1">
      <c r="A64" s="1" t="s">
        <v>125</v>
      </c>
      <c r="B64" s="103" t="s">
        <v>117</v>
      </c>
      <c r="C64" s="63"/>
      <c r="D64" s="103"/>
      <c r="E64" s="104">
        <v>4</v>
      </c>
      <c r="F64" s="104">
        <v>3</v>
      </c>
      <c r="G64" s="104"/>
      <c r="H64" s="104"/>
      <c r="I64" s="104"/>
      <c r="J64" s="104"/>
      <c r="K64" s="104"/>
      <c r="L64" s="104"/>
      <c r="M64" s="104"/>
      <c r="N64" s="104"/>
      <c r="O64" s="94"/>
      <c r="P64" s="2"/>
      <c r="Q64" s="6">
        <f t="shared" si="31"/>
        <v>7</v>
      </c>
      <c r="R64" s="4"/>
      <c r="S64" s="6">
        <v>0</v>
      </c>
      <c r="T64" s="9">
        <f t="shared" si="11"/>
        <v>0</v>
      </c>
      <c r="U64" s="6"/>
      <c r="V64" s="3">
        <f t="shared" si="12"/>
        <v>0</v>
      </c>
      <c r="W64" s="3">
        <f t="shared" si="32"/>
        <v>0</v>
      </c>
      <c r="X64" s="7"/>
      <c r="Y64" s="11"/>
      <c r="Z64" s="101">
        <v>0</v>
      </c>
      <c r="AA64" s="101">
        <v>0</v>
      </c>
      <c r="AB64" s="101"/>
      <c r="AC64" s="101"/>
      <c r="AD64" s="101"/>
      <c r="AE64" s="101"/>
      <c r="AF64" s="101"/>
      <c r="AG64" s="100"/>
      <c r="AH64" s="100"/>
      <c r="AI64" s="102"/>
      <c r="AJ64" s="100"/>
      <c r="AK64" s="100"/>
      <c r="AL64" s="6">
        <f t="shared" si="14"/>
        <v>0</v>
      </c>
      <c r="AM64" s="101"/>
      <c r="AN64" s="101"/>
      <c r="AO64" s="101"/>
      <c r="AP64" s="101"/>
      <c r="AQ64" s="101"/>
      <c r="AR64" s="106"/>
      <c r="AS64" s="106"/>
      <c r="AT64" s="106"/>
      <c r="AU64" s="106"/>
      <c r="AV64" s="106"/>
      <c r="AW64" s="106"/>
      <c r="AX64" s="106"/>
      <c r="AY64" s="6">
        <f t="shared" si="5"/>
        <v>0</v>
      </c>
    </row>
    <row r="65" spans="1:51" s="65" customFormat="1" ht="15" thickBot="1">
      <c r="A65" s="1" t="s">
        <v>125</v>
      </c>
      <c r="B65" s="103" t="s">
        <v>118</v>
      </c>
      <c r="C65" s="63"/>
      <c r="D65" s="103"/>
      <c r="E65" s="104">
        <v>5</v>
      </c>
      <c r="F65" s="104">
        <v>0</v>
      </c>
      <c r="G65" s="104"/>
      <c r="H65" s="104"/>
      <c r="I65" s="104"/>
      <c r="J65" s="104"/>
      <c r="K65" s="104"/>
      <c r="L65" s="104"/>
      <c r="M65" s="104"/>
      <c r="N65" s="104"/>
      <c r="O65" s="94"/>
      <c r="P65" s="2"/>
      <c r="Q65" s="6">
        <f t="shared" si="31"/>
        <v>5</v>
      </c>
      <c r="R65" s="4"/>
      <c r="S65" s="6">
        <v>5</v>
      </c>
      <c r="T65" s="9">
        <f t="shared" si="11"/>
        <v>5</v>
      </c>
      <c r="U65" s="6"/>
      <c r="V65" s="3">
        <f t="shared" si="12"/>
        <v>0</v>
      </c>
      <c r="W65" s="3">
        <f t="shared" si="32"/>
        <v>0</v>
      </c>
      <c r="X65" s="7"/>
      <c r="Y65" s="11"/>
      <c r="Z65" s="101">
        <v>0</v>
      </c>
      <c r="AA65" s="101">
        <v>0</v>
      </c>
      <c r="AB65" s="101"/>
      <c r="AC65" s="101"/>
      <c r="AD65" s="101"/>
      <c r="AE65" s="101"/>
      <c r="AF65" s="101"/>
      <c r="AG65" s="100"/>
      <c r="AH65" s="100"/>
      <c r="AI65" s="102"/>
      <c r="AJ65" s="100"/>
      <c r="AK65" s="100"/>
      <c r="AL65" s="6">
        <f t="shared" si="14"/>
        <v>0</v>
      </c>
      <c r="AM65" s="101">
        <v>0</v>
      </c>
      <c r="AN65" s="101">
        <v>0</v>
      </c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6">
        <f t="shared" si="5"/>
        <v>0</v>
      </c>
    </row>
    <row r="66" spans="1:51" s="65" customFormat="1" ht="15" thickBot="1">
      <c r="A66" s="1" t="s">
        <v>125</v>
      </c>
      <c r="B66" s="103" t="s">
        <v>119</v>
      </c>
      <c r="C66" s="63"/>
      <c r="D66" s="103"/>
      <c r="E66" s="104">
        <v>2</v>
      </c>
      <c r="F66" s="104">
        <v>5</v>
      </c>
      <c r="G66" s="104"/>
      <c r="H66" s="104"/>
      <c r="I66" s="104"/>
      <c r="J66" s="104"/>
      <c r="K66" s="104"/>
      <c r="L66" s="104"/>
      <c r="M66" s="104"/>
      <c r="N66" s="104"/>
      <c r="O66" s="94"/>
      <c r="P66" s="2"/>
      <c r="Q66" s="6">
        <f t="shared" si="31"/>
        <v>7</v>
      </c>
      <c r="R66" s="4"/>
      <c r="S66" s="6">
        <v>2</v>
      </c>
      <c r="T66" s="9">
        <f t="shared" si="11"/>
        <v>2</v>
      </c>
      <c r="U66" s="6"/>
      <c r="V66" s="3">
        <f t="shared" si="12"/>
        <v>0</v>
      </c>
      <c r="W66" s="3">
        <f t="shared" si="32"/>
        <v>0</v>
      </c>
      <c r="X66" s="7"/>
      <c r="Y66" s="11"/>
      <c r="Z66" s="101">
        <v>0</v>
      </c>
      <c r="AA66" s="101"/>
      <c r="AB66" s="101"/>
      <c r="AC66" s="101"/>
      <c r="AD66" s="101"/>
      <c r="AE66" s="101"/>
      <c r="AF66" s="101"/>
      <c r="AG66" s="100"/>
      <c r="AH66" s="100"/>
      <c r="AI66" s="102"/>
      <c r="AJ66" s="100"/>
      <c r="AK66" s="100"/>
      <c r="AL66" s="6">
        <f t="shared" si="14"/>
        <v>0</v>
      </c>
      <c r="AM66" s="101"/>
      <c r="AN66" s="101"/>
      <c r="AO66" s="101"/>
      <c r="AP66" s="101"/>
      <c r="AQ66" s="101"/>
      <c r="AR66" s="106"/>
      <c r="AS66" s="106"/>
      <c r="AT66" s="106"/>
      <c r="AU66" s="106"/>
      <c r="AV66" s="106"/>
      <c r="AW66" s="106"/>
      <c r="AX66" s="106"/>
      <c r="AY66" s="6">
        <f t="shared" si="5"/>
        <v>0</v>
      </c>
    </row>
    <row r="67" spans="1:51" s="65" customFormat="1" ht="15" thickBot="1">
      <c r="A67" s="1" t="s">
        <v>125</v>
      </c>
      <c r="B67" s="103" t="s">
        <v>120</v>
      </c>
      <c r="C67" s="63"/>
      <c r="D67" s="103"/>
      <c r="E67" s="104">
        <v>1</v>
      </c>
      <c r="F67" s="104">
        <v>0</v>
      </c>
      <c r="G67" s="104"/>
      <c r="H67" s="104"/>
      <c r="I67" s="104"/>
      <c r="J67" s="104"/>
      <c r="K67" s="104"/>
      <c r="L67" s="104"/>
      <c r="M67" s="104"/>
      <c r="N67" s="104"/>
      <c r="O67" s="94"/>
      <c r="P67" s="2"/>
      <c r="Q67" s="6">
        <f t="shared" si="31"/>
        <v>1</v>
      </c>
      <c r="R67" s="4"/>
      <c r="S67" s="6">
        <v>0</v>
      </c>
      <c r="T67" s="9">
        <f t="shared" si="11"/>
        <v>0</v>
      </c>
      <c r="U67" s="6"/>
      <c r="V67" s="3">
        <f t="shared" si="12"/>
        <v>0</v>
      </c>
      <c r="W67" s="3">
        <f t="shared" si="32"/>
        <v>0</v>
      </c>
      <c r="X67" s="7"/>
      <c r="Y67" s="11"/>
      <c r="Z67" s="101"/>
      <c r="AA67" s="101">
        <v>0</v>
      </c>
      <c r="AB67" s="101"/>
      <c r="AC67" s="101"/>
      <c r="AD67" s="101"/>
      <c r="AE67" s="101"/>
      <c r="AF67" s="101"/>
      <c r="AG67" s="100"/>
      <c r="AH67" s="100"/>
      <c r="AI67" s="102"/>
      <c r="AJ67" s="100"/>
      <c r="AK67" s="100"/>
      <c r="AL67" s="6">
        <f t="shared" si="14"/>
        <v>0</v>
      </c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6">
        <f t="shared" si="5"/>
        <v>0</v>
      </c>
    </row>
    <row r="68" spans="1:51" s="65" customFormat="1" ht="15" thickBot="1">
      <c r="A68" s="1" t="s">
        <v>125</v>
      </c>
      <c r="B68" s="103" t="s">
        <v>121</v>
      </c>
      <c r="C68" s="63"/>
      <c r="D68" s="103"/>
      <c r="E68" s="104">
        <v>1</v>
      </c>
      <c r="F68" s="104">
        <v>0</v>
      </c>
      <c r="G68" s="104"/>
      <c r="H68" s="104"/>
      <c r="I68" s="104"/>
      <c r="J68" s="104"/>
      <c r="K68" s="104"/>
      <c r="L68" s="104"/>
      <c r="M68" s="104"/>
      <c r="N68" s="104"/>
      <c r="O68" s="94"/>
      <c r="P68" s="2"/>
      <c r="Q68" s="6">
        <f t="shared" si="31"/>
        <v>1</v>
      </c>
      <c r="R68" s="4"/>
      <c r="S68" s="6">
        <v>0</v>
      </c>
      <c r="T68" s="9">
        <f t="shared" si="11"/>
        <v>0</v>
      </c>
      <c r="U68" s="6"/>
      <c r="V68" s="3">
        <f t="shared" si="12"/>
        <v>0</v>
      </c>
      <c r="W68" s="3">
        <f t="shared" si="32"/>
        <v>0</v>
      </c>
      <c r="X68" s="7"/>
      <c r="Y68" s="11"/>
      <c r="Z68" s="101">
        <v>0</v>
      </c>
      <c r="AA68" s="101">
        <v>0</v>
      </c>
      <c r="AB68" s="101"/>
      <c r="AC68" s="101"/>
      <c r="AD68" s="101"/>
      <c r="AE68" s="101"/>
      <c r="AF68" s="101"/>
      <c r="AG68" s="100"/>
      <c r="AH68" s="100"/>
      <c r="AI68" s="102"/>
      <c r="AJ68" s="100"/>
      <c r="AK68" s="100"/>
      <c r="AL68" s="6">
        <f t="shared" si="14"/>
        <v>0</v>
      </c>
      <c r="AM68" s="117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6">
        <f t="shared" si="5"/>
        <v>0</v>
      </c>
    </row>
    <row r="69" spans="1:51" s="65" customFormat="1" ht="15" thickBot="1">
      <c r="A69" s="1" t="s">
        <v>125</v>
      </c>
      <c r="B69" s="103" t="s">
        <v>122</v>
      </c>
      <c r="C69" s="63"/>
      <c r="D69" s="103"/>
      <c r="E69" s="104">
        <v>1</v>
      </c>
      <c r="F69" s="104">
        <v>0</v>
      </c>
      <c r="G69" s="104"/>
      <c r="H69" s="104"/>
      <c r="I69" s="104"/>
      <c r="J69" s="104"/>
      <c r="K69" s="104"/>
      <c r="L69" s="104"/>
      <c r="M69" s="104"/>
      <c r="N69" s="104"/>
      <c r="O69" s="94"/>
      <c r="P69" s="2"/>
      <c r="Q69" s="6">
        <f t="shared" si="31"/>
        <v>1</v>
      </c>
      <c r="R69" s="4"/>
      <c r="S69" s="6">
        <v>0</v>
      </c>
      <c r="T69" s="9">
        <f t="shared" si="11"/>
        <v>0</v>
      </c>
      <c r="U69" s="6"/>
      <c r="V69" s="3">
        <f t="shared" si="12"/>
        <v>0</v>
      </c>
      <c r="W69" s="3">
        <f t="shared" si="32"/>
        <v>0</v>
      </c>
      <c r="X69" s="7"/>
      <c r="Y69" s="11"/>
      <c r="Z69" s="101"/>
      <c r="AA69" s="101"/>
      <c r="AB69" s="101"/>
      <c r="AC69" s="101"/>
      <c r="AD69" s="101"/>
      <c r="AE69" s="101"/>
      <c r="AF69" s="101"/>
      <c r="AG69" s="100"/>
      <c r="AH69" s="100"/>
      <c r="AI69" s="102"/>
      <c r="AJ69" s="100"/>
      <c r="AK69" s="100"/>
      <c r="AL69" s="6">
        <f t="shared" si="14"/>
        <v>0</v>
      </c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6">
        <f t="shared" si="5"/>
        <v>0</v>
      </c>
    </row>
    <row r="70" spans="1:51" s="65" customFormat="1" ht="15" thickBot="1">
      <c r="A70" s="1" t="s">
        <v>125</v>
      </c>
      <c r="B70" s="103" t="s">
        <v>123</v>
      </c>
      <c r="C70" s="63"/>
      <c r="D70" s="103"/>
      <c r="E70" s="104">
        <v>6</v>
      </c>
      <c r="F70" s="104">
        <v>3</v>
      </c>
      <c r="G70" s="104"/>
      <c r="H70" s="104"/>
      <c r="I70" s="104"/>
      <c r="J70" s="104"/>
      <c r="K70" s="104"/>
      <c r="L70" s="104"/>
      <c r="M70" s="104"/>
      <c r="N70" s="104"/>
      <c r="O70" s="94"/>
      <c r="P70" s="2"/>
      <c r="Q70" s="6">
        <f>SUM(E70:P70)</f>
        <v>9</v>
      </c>
      <c r="R70" s="4"/>
      <c r="S70" s="6">
        <v>1</v>
      </c>
      <c r="T70" s="9">
        <f t="shared" si="11"/>
        <v>1</v>
      </c>
      <c r="U70" s="6"/>
      <c r="V70" s="3">
        <f t="shared" si="12"/>
        <v>0</v>
      </c>
      <c r="W70" s="3">
        <f t="shared" si="32"/>
        <v>0</v>
      </c>
      <c r="X70" s="7"/>
      <c r="Y70" s="11"/>
      <c r="Z70" s="101"/>
      <c r="AA70" s="101"/>
      <c r="AB70" s="101"/>
      <c r="AC70" s="101"/>
      <c r="AD70" s="101"/>
      <c r="AE70" s="101"/>
      <c r="AF70" s="101"/>
      <c r="AG70" s="100"/>
      <c r="AH70" s="100"/>
      <c r="AI70" s="102"/>
      <c r="AJ70" s="100"/>
      <c r="AK70" s="100"/>
      <c r="AL70" s="6">
        <f t="shared" si="14"/>
        <v>0</v>
      </c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6">
        <f t="shared" si="5"/>
        <v>0</v>
      </c>
    </row>
    <row r="71" spans="1:51" s="65" customFormat="1" ht="15" thickBot="1">
      <c r="A71" s="1" t="s">
        <v>125</v>
      </c>
      <c r="B71" s="103" t="s">
        <v>124</v>
      </c>
      <c r="C71" s="63"/>
      <c r="D71" s="103"/>
      <c r="E71" s="104">
        <v>8</v>
      </c>
      <c r="F71" s="104">
        <v>5</v>
      </c>
      <c r="G71" s="104"/>
      <c r="H71" s="104"/>
      <c r="I71" s="104"/>
      <c r="J71" s="104"/>
      <c r="K71" s="104"/>
      <c r="L71" s="104"/>
      <c r="M71" s="104"/>
      <c r="N71" s="104"/>
      <c r="O71" s="94"/>
      <c r="P71" s="2"/>
      <c r="Q71" s="6">
        <f t="shared" si="31"/>
        <v>13</v>
      </c>
      <c r="R71" s="4"/>
      <c r="S71" s="6">
        <v>0</v>
      </c>
      <c r="T71" s="9">
        <f t="shared" si="11"/>
        <v>0</v>
      </c>
      <c r="U71" s="6"/>
      <c r="V71" s="3">
        <f t="shared" si="12"/>
        <v>0</v>
      </c>
      <c r="W71" s="3">
        <f t="shared" si="32"/>
        <v>0</v>
      </c>
      <c r="X71" s="7"/>
      <c r="Y71" s="11"/>
      <c r="Z71" s="101"/>
      <c r="AA71" s="101"/>
      <c r="AB71" s="101"/>
      <c r="AC71" s="101"/>
      <c r="AD71" s="101"/>
      <c r="AE71" s="101"/>
      <c r="AF71" s="101"/>
      <c r="AG71" s="100"/>
      <c r="AH71" s="100"/>
      <c r="AI71" s="102"/>
      <c r="AJ71" s="100"/>
      <c r="AK71" s="100"/>
      <c r="AL71" s="6">
        <f t="shared" si="14"/>
        <v>0</v>
      </c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6">
        <f t="shared" si="5"/>
        <v>0</v>
      </c>
    </row>
    <row r="72" spans="1:51" s="65" customFormat="1" ht="23.25" customHeight="1" thickBot="1">
      <c r="A72" s="196" t="s">
        <v>222</v>
      </c>
      <c r="B72" s="197"/>
      <c r="C72" s="45">
        <f>+D72/Metas!G26</f>
        <v>2.5315644427353714</v>
      </c>
      <c r="D72" s="19">
        <f>+Q72/R72</f>
        <v>0.0531628532974428</v>
      </c>
      <c r="E72" s="14">
        <f aca="true" t="shared" si="33" ref="E72:P72">SUM(E62:E71)</f>
        <v>57</v>
      </c>
      <c r="F72" s="14">
        <f t="shared" si="33"/>
        <v>22</v>
      </c>
      <c r="G72" s="14">
        <f t="shared" si="33"/>
        <v>0</v>
      </c>
      <c r="H72" s="14">
        <f t="shared" si="33"/>
        <v>0</v>
      </c>
      <c r="I72" s="14">
        <f t="shared" si="33"/>
        <v>0</v>
      </c>
      <c r="J72" s="14">
        <f t="shared" si="33"/>
        <v>0</v>
      </c>
      <c r="K72" s="14">
        <f t="shared" si="33"/>
        <v>0</v>
      </c>
      <c r="L72" s="14">
        <f t="shared" si="33"/>
        <v>0</v>
      </c>
      <c r="M72" s="14">
        <f t="shared" si="33"/>
        <v>0</v>
      </c>
      <c r="N72" s="14">
        <f t="shared" si="33"/>
        <v>0</v>
      </c>
      <c r="O72" s="14">
        <f t="shared" si="33"/>
        <v>0</v>
      </c>
      <c r="P72" s="14">
        <f t="shared" si="33"/>
        <v>0</v>
      </c>
      <c r="Q72" s="14">
        <f>SUM(Q62:Q71)</f>
        <v>79</v>
      </c>
      <c r="R72" s="15">
        <f>+Y72-T72</f>
        <v>1486</v>
      </c>
      <c r="S72" s="13">
        <f aca="true" t="shared" si="34" ref="S72:X72">SUM(S62:S71)</f>
        <v>41</v>
      </c>
      <c r="T72" s="13">
        <f t="shared" si="34"/>
        <v>42</v>
      </c>
      <c r="U72" s="13">
        <f t="shared" si="34"/>
        <v>0</v>
      </c>
      <c r="V72" s="13">
        <f t="shared" si="34"/>
        <v>0</v>
      </c>
      <c r="W72" s="13">
        <f t="shared" si="34"/>
        <v>0</v>
      </c>
      <c r="X72" s="13">
        <f t="shared" si="34"/>
        <v>0</v>
      </c>
      <c r="Y72" s="16">
        <v>1528</v>
      </c>
      <c r="Z72" s="13">
        <f>SUM(Z62:Z71)</f>
        <v>0</v>
      </c>
      <c r="AA72" s="13">
        <f aca="true" t="shared" si="35" ref="AA72:AK72">SUM(AA62:AA71)</f>
        <v>1</v>
      </c>
      <c r="AB72" s="13">
        <f t="shared" si="35"/>
        <v>0</v>
      </c>
      <c r="AC72" s="13">
        <f t="shared" si="35"/>
        <v>0</v>
      </c>
      <c r="AD72" s="13">
        <f t="shared" si="35"/>
        <v>0</v>
      </c>
      <c r="AE72" s="13">
        <f t="shared" si="35"/>
        <v>0</v>
      </c>
      <c r="AF72" s="13">
        <f t="shared" si="35"/>
        <v>0</v>
      </c>
      <c r="AG72" s="13">
        <f t="shared" si="35"/>
        <v>0</v>
      </c>
      <c r="AH72" s="13">
        <f t="shared" si="35"/>
        <v>0</v>
      </c>
      <c r="AI72" s="13">
        <f t="shared" si="35"/>
        <v>0</v>
      </c>
      <c r="AJ72" s="13">
        <f t="shared" si="35"/>
        <v>0</v>
      </c>
      <c r="AK72" s="13">
        <f t="shared" si="35"/>
        <v>0</v>
      </c>
      <c r="AL72" s="13">
        <f t="shared" si="14"/>
        <v>1</v>
      </c>
      <c r="AM72" s="13">
        <f aca="true" t="shared" si="36" ref="AM72:AX72">SUM(AM62:AM71)</f>
        <v>0</v>
      </c>
      <c r="AN72" s="13">
        <f t="shared" si="36"/>
        <v>0</v>
      </c>
      <c r="AO72" s="13">
        <f t="shared" si="36"/>
        <v>0</v>
      </c>
      <c r="AP72" s="13">
        <f t="shared" si="36"/>
        <v>0</v>
      </c>
      <c r="AQ72" s="13">
        <f t="shared" si="36"/>
        <v>0</v>
      </c>
      <c r="AR72" s="13">
        <f t="shared" si="36"/>
        <v>0</v>
      </c>
      <c r="AS72" s="13">
        <f t="shared" si="36"/>
        <v>0</v>
      </c>
      <c r="AT72" s="13">
        <f t="shared" si="36"/>
        <v>0</v>
      </c>
      <c r="AU72" s="13">
        <f t="shared" si="36"/>
        <v>0</v>
      </c>
      <c r="AV72" s="13">
        <f t="shared" si="36"/>
        <v>0</v>
      </c>
      <c r="AW72" s="13">
        <f t="shared" si="36"/>
        <v>0</v>
      </c>
      <c r="AX72" s="13">
        <f t="shared" si="36"/>
        <v>0</v>
      </c>
      <c r="AY72" s="13">
        <f t="shared" si="5"/>
        <v>0</v>
      </c>
    </row>
    <row r="73" spans="1:51" s="65" customFormat="1" ht="15" thickBot="1">
      <c r="A73" s="1" t="s">
        <v>131</v>
      </c>
      <c r="B73" s="103" t="s">
        <v>126</v>
      </c>
      <c r="C73" s="63"/>
      <c r="D73" s="103"/>
      <c r="E73" s="101">
        <v>1</v>
      </c>
      <c r="F73" s="101">
        <v>3</v>
      </c>
      <c r="G73" s="101"/>
      <c r="H73" s="101"/>
      <c r="I73" s="101"/>
      <c r="J73" s="101"/>
      <c r="K73" s="101"/>
      <c r="L73" s="101"/>
      <c r="M73" s="101"/>
      <c r="N73" s="101"/>
      <c r="O73" s="100"/>
      <c r="P73" s="2"/>
      <c r="Q73" s="6">
        <f>SUM(E73:P73)</f>
        <v>4</v>
      </c>
      <c r="R73" s="4"/>
      <c r="S73" s="6">
        <v>9</v>
      </c>
      <c r="T73" s="9">
        <f t="shared" si="11"/>
        <v>9</v>
      </c>
      <c r="U73" s="6"/>
      <c r="V73" s="3">
        <f t="shared" si="12"/>
        <v>0</v>
      </c>
      <c r="W73" s="3">
        <f>+U73+(AF73+AG73+AH73+AI73)-(AS73+AT73+AU73+AV73)</f>
        <v>0</v>
      </c>
      <c r="X73" s="7"/>
      <c r="Y73" s="11"/>
      <c r="Z73" s="101">
        <v>0</v>
      </c>
      <c r="AA73" s="101">
        <v>0</v>
      </c>
      <c r="AB73" s="101"/>
      <c r="AC73" s="101"/>
      <c r="AD73" s="101"/>
      <c r="AE73" s="101"/>
      <c r="AF73" s="101"/>
      <c r="AG73" s="101"/>
      <c r="AH73" s="101"/>
      <c r="AI73" s="101"/>
      <c r="AJ73" s="100"/>
      <c r="AK73" s="100"/>
      <c r="AL73" s="6">
        <f t="shared" si="14"/>
        <v>0</v>
      </c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6">
        <f t="shared" si="5"/>
        <v>0</v>
      </c>
    </row>
    <row r="74" spans="1:51" s="65" customFormat="1" ht="15" thickBot="1">
      <c r="A74" s="1" t="s">
        <v>131</v>
      </c>
      <c r="B74" s="103" t="s">
        <v>127</v>
      </c>
      <c r="C74" s="63"/>
      <c r="D74" s="103"/>
      <c r="E74" s="101">
        <v>0</v>
      </c>
      <c r="F74" s="101">
        <v>0</v>
      </c>
      <c r="G74" s="101"/>
      <c r="H74" s="101"/>
      <c r="I74" s="101"/>
      <c r="J74" s="101"/>
      <c r="K74" s="101"/>
      <c r="L74" s="101"/>
      <c r="M74" s="101"/>
      <c r="N74" s="101"/>
      <c r="O74" s="100"/>
      <c r="P74" s="2"/>
      <c r="Q74" s="6">
        <f>SUM(E74:P74)</f>
        <v>0</v>
      </c>
      <c r="R74" s="4"/>
      <c r="S74" s="6">
        <v>2</v>
      </c>
      <c r="T74" s="9">
        <f t="shared" si="11"/>
        <v>2</v>
      </c>
      <c r="U74" s="6"/>
      <c r="V74" s="3">
        <f t="shared" si="12"/>
        <v>0</v>
      </c>
      <c r="W74" s="3">
        <f>+U74+(AF74+AG74+AH74+AI74)-(AS74+AT74+AU74+AV74)</f>
        <v>0</v>
      </c>
      <c r="X74" s="7"/>
      <c r="Y74" s="11"/>
      <c r="Z74" s="101">
        <v>0</v>
      </c>
      <c r="AA74" s="101">
        <v>0</v>
      </c>
      <c r="AB74" s="101"/>
      <c r="AC74" s="101"/>
      <c r="AD74" s="101"/>
      <c r="AE74" s="101"/>
      <c r="AF74" s="101"/>
      <c r="AG74" s="101"/>
      <c r="AH74" s="101"/>
      <c r="AI74" s="101"/>
      <c r="AJ74" s="100"/>
      <c r="AK74" s="100"/>
      <c r="AL74" s="6">
        <f t="shared" si="14"/>
        <v>0</v>
      </c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6">
        <f t="shared" si="5"/>
        <v>0</v>
      </c>
    </row>
    <row r="75" spans="1:51" s="65" customFormat="1" ht="15" thickBot="1">
      <c r="A75" s="1" t="s">
        <v>131</v>
      </c>
      <c r="B75" s="103" t="s">
        <v>128</v>
      </c>
      <c r="C75" s="63"/>
      <c r="D75" s="103"/>
      <c r="E75" s="101">
        <v>1</v>
      </c>
      <c r="F75" s="101">
        <v>0</v>
      </c>
      <c r="G75" s="101"/>
      <c r="H75" s="101"/>
      <c r="I75" s="101"/>
      <c r="J75" s="101"/>
      <c r="K75" s="101"/>
      <c r="L75" s="101"/>
      <c r="M75" s="101"/>
      <c r="N75" s="101"/>
      <c r="O75" s="100"/>
      <c r="P75" s="2"/>
      <c r="Q75" s="6">
        <f>SUM(E75:P75)</f>
        <v>1</v>
      </c>
      <c r="R75" s="4"/>
      <c r="S75" s="6">
        <v>3</v>
      </c>
      <c r="T75" s="9">
        <f t="shared" si="11"/>
        <v>3</v>
      </c>
      <c r="U75" s="6"/>
      <c r="V75" s="3">
        <f t="shared" si="12"/>
        <v>0</v>
      </c>
      <c r="W75" s="3">
        <f>+U75+(AF75+AG75+AH75+AI75)-(AS75+AT75+AU75+AV75)</f>
        <v>0</v>
      </c>
      <c r="X75" s="7"/>
      <c r="Y75" s="11"/>
      <c r="Z75" s="101">
        <v>0</v>
      </c>
      <c r="AA75" s="101">
        <v>0</v>
      </c>
      <c r="AB75" s="101"/>
      <c r="AC75" s="101"/>
      <c r="AD75" s="101"/>
      <c r="AE75" s="101"/>
      <c r="AF75" s="101"/>
      <c r="AG75" s="101"/>
      <c r="AH75" s="101"/>
      <c r="AI75" s="101"/>
      <c r="AJ75" s="100"/>
      <c r="AK75" s="100"/>
      <c r="AL75" s="6">
        <f t="shared" si="14"/>
        <v>0</v>
      </c>
      <c r="AM75" s="101"/>
      <c r="AN75" s="101">
        <v>0</v>
      </c>
      <c r="AO75" s="101"/>
      <c r="AP75" s="101"/>
      <c r="AQ75" s="101"/>
      <c r="AR75" s="106"/>
      <c r="AS75" s="106"/>
      <c r="AT75" s="106"/>
      <c r="AU75" s="106"/>
      <c r="AV75" s="106"/>
      <c r="AW75" s="106"/>
      <c r="AX75" s="106"/>
      <c r="AY75" s="6">
        <f t="shared" si="5"/>
        <v>0</v>
      </c>
    </row>
    <row r="76" spans="1:51" s="65" customFormat="1" ht="15" thickBot="1">
      <c r="A76" s="1" t="s">
        <v>131</v>
      </c>
      <c r="B76" s="103" t="s">
        <v>129</v>
      </c>
      <c r="C76" s="63"/>
      <c r="D76" s="103"/>
      <c r="E76" s="101"/>
      <c r="F76" s="101">
        <v>1</v>
      </c>
      <c r="G76" s="101"/>
      <c r="H76" s="101"/>
      <c r="I76" s="101"/>
      <c r="J76" s="101"/>
      <c r="K76" s="101"/>
      <c r="L76" s="101"/>
      <c r="M76" s="101"/>
      <c r="N76" s="101"/>
      <c r="O76" s="100"/>
      <c r="P76" s="2"/>
      <c r="Q76" s="6">
        <f>SUM(E76:P76)</f>
        <v>1</v>
      </c>
      <c r="R76" s="4"/>
      <c r="S76" s="6">
        <v>2</v>
      </c>
      <c r="T76" s="9">
        <f>+S76+(Z76+AA76+AB76)-(AM76+AN76+AO76)</f>
        <v>2</v>
      </c>
      <c r="U76" s="6"/>
      <c r="V76" s="3">
        <f>+U76+(AF76+AG76)-(AS76+AT76)</f>
        <v>0</v>
      </c>
      <c r="W76" s="3">
        <f>+U76+(AF76+AG76+AH76+AI76)-(AS76+AT76+AU76+AV76)</f>
        <v>0</v>
      </c>
      <c r="X76" s="7"/>
      <c r="Y76" s="11"/>
      <c r="Z76" s="101">
        <v>0</v>
      </c>
      <c r="AA76" s="101"/>
      <c r="AB76" s="101"/>
      <c r="AC76" s="101"/>
      <c r="AD76" s="101"/>
      <c r="AE76" s="101"/>
      <c r="AF76" s="101"/>
      <c r="AG76" s="101"/>
      <c r="AH76" s="101"/>
      <c r="AI76" s="101"/>
      <c r="AJ76" s="100"/>
      <c r="AK76" s="100"/>
      <c r="AL76" s="6">
        <f aca="true" t="shared" si="37" ref="AL76:AL139">SUM(Z76:AK76)</f>
        <v>0</v>
      </c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6">
        <f aca="true" t="shared" si="38" ref="AY76:AY139">SUM(AM76:AX76)</f>
        <v>0</v>
      </c>
    </row>
    <row r="77" spans="1:51" s="65" customFormat="1" ht="15" thickBot="1">
      <c r="A77" s="1" t="s">
        <v>131</v>
      </c>
      <c r="B77" s="103" t="s">
        <v>130</v>
      </c>
      <c r="C77" s="63"/>
      <c r="D77" s="103"/>
      <c r="E77" s="101">
        <v>3</v>
      </c>
      <c r="F77" s="101">
        <v>0</v>
      </c>
      <c r="G77" s="101"/>
      <c r="H77" s="101"/>
      <c r="I77" s="101"/>
      <c r="J77" s="101"/>
      <c r="K77" s="101"/>
      <c r="L77" s="101"/>
      <c r="M77" s="101"/>
      <c r="N77" s="101"/>
      <c r="O77" s="100"/>
      <c r="P77" s="2"/>
      <c r="Q77" s="6">
        <f>SUM(E77:P77)</f>
        <v>3</v>
      </c>
      <c r="R77" s="4"/>
      <c r="S77" s="6">
        <v>0</v>
      </c>
      <c r="T77" s="9">
        <f>+S77+(Z77+AA77+AB77)-(AM77+AN77+AO77)</f>
        <v>0</v>
      </c>
      <c r="U77" s="6"/>
      <c r="V77" s="3">
        <f>+U77+(AF77+AG77)-(AS77+AT77)</f>
        <v>0</v>
      </c>
      <c r="W77" s="3">
        <f>+U77+(AF77+AG77+AH77+AI77)-(AS77+AT77+AU77+AV77)</f>
        <v>0</v>
      </c>
      <c r="X77" s="7"/>
      <c r="Y77" s="1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0"/>
      <c r="AK77" s="100"/>
      <c r="AL77" s="6">
        <f t="shared" si="37"/>
        <v>0</v>
      </c>
      <c r="AM77" s="101"/>
      <c r="AN77" s="101"/>
      <c r="AO77" s="101"/>
      <c r="AP77" s="101"/>
      <c r="AQ77" s="101"/>
      <c r="AR77" s="106"/>
      <c r="AS77" s="106"/>
      <c r="AT77" s="106"/>
      <c r="AU77" s="106"/>
      <c r="AV77" s="106"/>
      <c r="AW77" s="106"/>
      <c r="AX77" s="106"/>
      <c r="AY77" s="6">
        <f t="shared" si="38"/>
        <v>0</v>
      </c>
    </row>
    <row r="78" spans="1:51" s="65" customFormat="1" ht="15" thickBot="1">
      <c r="A78" s="196" t="s">
        <v>223</v>
      </c>
      <c r="B78" s="197"/>
      <c r="C78" s="45">
        <f>+D78/Metas!G31</f>
        <v>0.49603174603174605</v>
      </c>
      <c r="D78" s="19">
        <f>+Q78/R78</f>
        <v>0.008928571428571428</v>
      </c>
      <c r="E78" s="14">
        <f aca="true" t="shared" si="39" ref="E78:P78">SUM(E73:E77)</f>
        <v>5</v>
      </c>
      <c r="F78" s="14">
        <f t="shared" si="39"/>
        <v>4</v>
      </c>
      <c r="G78" s="14">
        <f t="shared" si="39"/>
        <v>0</v>
      </c>
      <c r="H78" s="14">
        <f t="shared" si="39"/>
        <v>0</v>
      </c>
      <c r="I78" s="14">
        <f t="shared" si="39"/>
        <v>0</v>
      </c>
      <c r="J78" s="14">
        <f t="shared" si="39"/>
        <v>0</v>
      </c>
      <c r="K78" s="14">
        <f t="shared" si="39"/>
        <v>0</v>
      </c>
      <c r="L78" s="14">
        <f t="shared" si="39"/>
        <v>0</v>
      </c>
      <c r="M78" s="14">
        <f t="shared" si="39"/>
        <v>0</v>
      </c>
      <c r="N78" s="14">
        <f t="shared" si="39"/>
        <v>0</v>
      </c>
      <c r="O78" s="14">
        <f t="shared" si="39"/>
        <v>0</v>
      </c>
      <c r="P78" s="14">
        <f t="shared" si="39"/>
        <v>0</v>
      </c>
      <c r="Q78" s="14">
        <f>SUM(Q73:Q77)</f>
        <v>9</v>
      </c>
      <c r="R78" s="15">
        <f>+Y78-T78</f>
        <v>1008</v>
      </c>
      <c r="S78" s="13">
        <f aca="true" t="shared" si="40" ref="S78:X78">SUM(S73:S77)</f>
        <v>16</v>
      </c>
      <c r="T78" s="13">
        <f t="shared" si="40"/>
        <v>16</v>
      </c>
      <c r="U78" s="13">
        <f t="shared" si="40"/>
        <v>0</v>
      </c>
      <c r="V78" s="13">
        <f t="shared" si="40"/>
        <v>0</v>
      </c>
      <c r="W78" s="13">
        <f t="shared" si="40"/>
        <v>0</v>
      </c>
      <c r="X78" s="13">
        <f t="shared" si="40"/>
        <v>0</v>
      </c>
      <c r="Y78" s="16">
        <v>1024</v>
      </c>
      <c r="Z78" s="13">
        <f>SUM(Z73:Z77)</f>
        <v>0</v>
      </c>
      <c r="AA78" s="13">
        <f aca="true" t="shared" si="41" ref="AA78:AK78">SUM(AA73:AA77)</f>
        <v>0</v>
      </c>
      <c r="AB78" s="13">
        <f t="shared" si="41"/>
        <v>0</v>
      </c>
      <c r="AC78" s="13">
        <f t="shared" si="41"/>
        <v>0</v>
      </c>
      <c r="AD78" s="13">
        <f t="shared" si="41"/>
        <v>0</v>
      </c>
      <c r="AE78" s="13">
        <f t="shared" si="41"/>
        <v>0</v>
      </c>
      <c r="AF78" s="13">
        <f t="shared" si="41"/>
        <v>0</v>
      </c>
      <c r="AG78" s="13">
        <f t="shared" si="41"/>
        <v>0</v>
      </c>
      <c r="AH78" s="13">
        <f t="shared" si="41"/>
        <v>0</v>
      </c>
      <c r="AI78" s="13">
        <f t="shared" si="41"/>
        <v>0</v>
      </c>
      <c r="AJ78" s="13">
        <f t="shared" si="41"/>
        <v>0</v>
      </c>
      <c r="AK78" s="13">
        <f t="shared" si="41"/>
        <v>0</v>
      </c>
      <c r="AL78" s="13">
        <f t="shared" si="37"/>
        <v>0</v>
      </c>
      <c r="AM78" s="13">
        <f aca="true" t="shared" si="42" ref="AM78:AX78">SUM(AM73:AM77)</f>
        <v>0</v>
      </c>
      <c r="AN78" s="13">
        <f t="shared" si="42"/>
        <v>0</v>
      </c>
      <c r="AO78" s="13">
        <f t="shared" si="42"/>
        <v>0</v>
      </c>
      <c r="AP78" s="13">
        <f t="shared" si="42"/>
        <v>0</v>
      </c>
      <c r="AQ78" s="13">
        <f t="shared" si="42"/>
        <v>0</v>
      </c>
      <c r="AR78" s="13">
        <f t="shared" si="42"/>
        <v>0</v>
      </c>
      <c r="AS78" s="13">
        <f t="shared" si="42"/>
        <v>0</v>
      </c>
      <c r="AT78" s="13">
        <f t="shared" si="42"/>
        <v>0</v>
      </c>
      <c r="AU78" s="13">
        <f t="shared" si="42"/>
        <v>0</v>
      </c>
      <c r="AV78" s="13">
        <f t="shared" si="42"/>
        <v>0</v>
      </c>
      <c r="AW78" s="13">
        <f t="shared" si="42"/>
        <v>0</v>
      </c>
      <c r="AX78" s="13">
        <f t="shared" si="42"/>
        <v>0</v>
      </c>
      <c r="AY78" s="13">
        <f t="shared" si="38"/>
        <v>0</v>
      </c>
    </row>
    <row r="79" spans="1:51" s="65" customFormat="1" ht="15" thickBot="1">
      <c r="A79" s="1" t="s">
        <v>142</v>
      </c>
      <c r="B79" s="103" t="s">
        <v>132</v>
      </c>
      <c r="C79" s="63"/>
      <c r="D79" s="103"/>
      <c r="E79" s="101">
        <v>13</v>
      </c>
      <c r="F79" s="101">
        <v>31</v>
      </c>
      <c r="G79" s="101"/>
      <c r="H79" s="101"/>
      <c r="I79" s="101"/>
      <c r="J79" s="101"/>
      <c r="K79" s="101"/>
      <c r="L79" s="101"/>
      <c r="M79" s="101"/>
      <c r="N79" s="101"/>
      <c r="O79" s="100"/>
      <c r="P79" s="2"/>
      <c r="Q79" s="6">
        <f aca="true" t="shared" si="43" ref="Q79:Q88">SUM(E79:P79)</f>
        <v>44</v>
      </c>
      <c r="R79" s="4"/>
      <c r="S79" s="6">
        <v>23</v>
      </c>
      <c r="T79" s="9">
        <f aca="true" t="shared" si="44" ref="T79:T88">+S79+(Z79+AA79+AB79)-(AM79+AN79+AO79)</f>
        <v>25</v>
      </c>
      <c r="U79" s="6"/>
      <c r="V79" s="3">
        <f aca="true" t="shared" si="45" ref="V79:V88">+U79+(AF79+AG79)-(AS79+AT79)</f>
        <v>0</v>
      </c>
      <c r="W79" s="3">
        <f aca="true" t="shared" si="46" ref="W79:W88">+U79+(AF79+AG79+AH79+AI79)-(AS79+AT79+AU79+AV79)</f>
        <v>0</v>
      </c>
      <c r="X79" s="7"/>
      <c r="Y79" s="11"/>
      <c r="Z79" s="101">
        <v>1</v>
      </c>
      <c r="AA79" s="101">
        <v>1</v>
      </c>
      <c r="AB79" s="101"/>
      <c r="AC79" s="101"/>
      <c r="AD79" s="101"/>
      <c r="AE79" s="101"/>
      <c r="AF79" s="101"/>
      <c r="AG79" s="101"/>
      <c r="AH79" s="101"/>
      <c r="AI79" s="101"/>
      <c r="AJ79" s="100"/>
      <c r="AK79" s="2"/>
      <c r="AL79" s="6">
        <f t="shared" si="37"/>
        <v>2</v>
      </c>
      <c r="AM79" s="101">
        <v>0</v>
      </c>
      <c r="AN79" s="101">
        <v>0</v>
      </c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6">
        <f t="shared" si="38"/>
        <v>0</v>
      </c>
    </row>
    <row r="80" spans="1:51" s="65" customFormat="1" ht="15" thickBot="1">
      <c r="A80" s="1" t="s">
        <v>142</v>
      </c>
      <c r="B80" s="103" t="s">
        <v>133</v>
      </c>
      <c r="C80" s="63"/>
      <c r="D80" s="103"/>
      <c r="E80" s="101">
        <v>1</v>
      </c>
      <c r="F80" s="101">
        <v>1</v>
      </c>
      <c r="G80" s="101"/>
      <c r="H80" s="101"/>
      <c r="I80" s="101"/>
      <c r="J80" s="101"/>
      <c r="K80" s="101"/>
      <c r="L80" s="101"/>
      <c r="M80" s="101"/>
      <c r="N80" s="101"/>
      <c r="O80" s="100"/>
      <c r="P80" s="2"/>
      <c r="Q80" s="6">
        <f t="shared" si="43"/>
        <v>2</v>
      </c>
      <c r="R80" s="4"/>
      <c r="S80" s="6">
        <v>6</v>
      </c>
      <c r="T80" s="9">
        <f t="shared" si="44"/>
        <v>6</v>
      </c>
      <c r="U80" s="6"/>
      <c r="V80" s="3">
        <f t="shared" si="45"/>
        <v>0</v>
      </c>
      <c r="W80" s="3">
        <f t="shared" si="46"/>
        <v>0</v>
      </c>
      <c r="X80" s="7"/>
      <c r="Y80" s="11"/>
      <c r="Z80" s="101">
        <v>0</v>
      </c>
      <c r="AA80" s="101">
        <v>0</v>
      </c>
      <c r="AB80" s="101"/>
      <c r="AC80" s="101"/>
      <c r="AD80" s="101"/>
      <c r="AE80" s="101"/>
      <c r="AF80" s="101"/>
      <c r="AG80" s="101"/>
      <c r="AH80" s="101"/>
      <c r="AI80" s="101"/>
      <c r="AJ80" s="100"/>
      <c r="AK80" s="2"/>
      <c r="AL80" s="6">
        <f t="shared" si="37"/>
        <v>0</v>
      </c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6">
        <f t="shared" si="38"/>
        <v>0</v>
      </c>
    </row>
    <row r="81" spans="1:51" s="65" customFormat="1" ht="15" thickBot="1">
      <c r="A81" s="1" t="s">
        <v>142</v>
      </c>
      <c r="B81" s="103" t="s">
        <v>134</v>
      </c>
      <c r="C81" s="63"/>
      <c r="D81" s="103"/>
      <c r="E81" s="101">
        <v>0</v>
      </c>
      <c r="F81" s="101">
        <v>1</v>
      </c>
      <c r="G81" s="101"/>
      <c r="H81" s="101"/>
      <c r="I81" s="101"/>
      <c r="J81" s="101"/>
      <c r="K81" s="101"/>
      <c r="L81" s="101"/>
      <c r="M81" s="101"/>
      <c r="N81" s="101"/>
      <c r="O81" s="100"/>
      <c r="P81" s="2"/>
      <c r="Q81" s="6">
        <f t="shared" si="43"/>
        <v>1</v>
      </c>
      <c r="R81" s="4"/>
      <c r="S81" s="6">
        <v>1</v>
      </c>
      <c r="T81" s="9">
        <f t="shared" si="44"/>
        <v>1</v>
      </c>
      <c r="U81" s="6"/>
      <c r="V81" s="3">
        <f t="shared" si="45"/>
        <v>0</v>
      </c>
      <c r="W81" s="3">
        <f t="shared" si="46"/>
        <v>0</v>
      </c>
      <c r="X81" s="7"/>
      <c r="Y81" s="1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0"/>
      <c r="AK81" s="2"/>
      <c r="AL81" s="6">
        <f t="shared" si="37"/>
        <v>0</v>
      </c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6">
        <f t="shared" si="38"/>
        <v>0</v>
      </c>
    </row>
    <row r="82" spans="1:51" s="65" customFormat="1" ht="15" thickBot="1">
      <c r="A82" s="1" t="s">
        <v>142</v>
      </c>
      <c r="B82" s="103" t="s">
        <v>135</v>
      </c>
      <c r="C82" s="63"/>
      <c r="D82" s="103"/>
      <c r="E82" s="101">
        <v>3</v>
      </c>
      <c r="F82" s="101">
        <v>1</v>
      </c>
      <c r="G82" s="101"/>
      <c r="H82" s="101"/>
      <c r="I82" s="101"/>
      <c r="J82" s="101"/>
      <c r="K82" s="101"/>
      <c r="L82" s="101"/>
      <c r="M82" s="101"/>
      <c r="N82" s="101"/>
      <c r="O82" s="100"/>
      <c r="P82" s="2"/>
      <c r="Q82" s="6">
        <f t="shared" si="43"/>
        <v>4</v>
      </c>
      <c r="R82" s="4"/>
      <c r="S82" s="6">
        <v>3</v>
      </c>
      <c r="T82" s="9">
        <f t="shared" si="44"/>
        <v>3</v>
      </c>
      <c r="U82" s="6"/>
      <c r="V82" s="3">
        <f t="shared" si="45"/>
        <v>0</v>
      </c>
      <c r="W82" s="3">
        <f t="shared" si="46"/>
        <v>0</v>
      </c>
      <c r="X82" s="7"/>
      <c r="Y82" s="11"/>
      <c r="Z82" s="101">
        <v>0</v>
      </c>
      <c r="AA82" s="101">
        <v>0</v>
      </c>
      <c r="AB82" s="101"/>
      <c r="AC82" s="101"/>
      <c r="AD82" s="101"/>
      <c r="AE82" s="101"/>
      <c r="AF82" s="101"/>
      <c r="AG82" s="101"/>
      <c r="AH82" s="101"/>
      <c r="AI82" s="101"/>
      <c r="AJ82" s="100"/>
      <c r="AK82" s="2"/>
      <c r="AL82" s="6">
        <f t="shared" si="37"/>
        <v>0</v>
      </c>
      <c r="AM82" s="101">
        <v>0</v>
      </c>
      <c r="AN82" s="101">
        <v>0</v>
      </c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6">
        <f t="shared" si="38"/>
        <v>0</v>
      </c>
    </row>
    <row r="83" spans="1:51" s="65" customFormat="1" ht="15" thickBot="1">
      <c r="A83" s="1" t="s">
        <v>142</v>
      </c>
      <c r="B83" s="103" t="s">
        <v>136</v>
      </c>
      <c r="C83" s="63"/>
      <c r="D83" s="103"/>
      <c r="E83" s="101">
        <v>3</v>
      </c>
      <c r="F83" s="101">
        <v>1</v>
      </c>
      <c r="G83" s="101"/>
      <c r="H83" s="101"/>
      <c r="I83" s="101"/>
      <c r="J83" s="101"/>
      <c r="K83" s="101"/>
      <c r="L83" s="101"/>
      <c r="M83" s="101"/>
      <c r="N83" s="101"/>
      <c r="O83" s="100"/>
      <c r="P83" s="2"/>
      <c r="Q83" s="6">
        <f t="shared" si="43"/>
        <v>4</v>
      </c>
      <c r="R83" s="4"/>
      <c r="S83" s="6">
        <v>6</v>
      </c>
      <c r="T83" s="9">
        <f t="shared" si="44"/>
        <v>6</v>
      </c>
      <c r="U83" s="6"/>
      <c r="V83" s="3">
        <f t="shared" si="45"/>
        <v>0</v>
      </c>
      <c r="W83" s="3">
        <f t="shared" si="46"/>
        <v>0</v>
      </c>
      <c r="X83" s="7"/>
      <c r="Y83" s="11"/>
      <c r="Z83" s="101">
        <v>0</v>
      </c>
      <c r="AA83" s="101"/>
      <c r="AB83" s="101"/>
      <c r="AC83" s="101"/>
      <c r="AD83" s="101"/>
      <c r="AE83" s="101"/>
      <c r="AF83" s="101"/>
      <c r="AG83" s="101"/>
      <c r="AH83" s="101"/>
      <c r="AI83" s="101"/>
      <c r="AJ83" s="100"/>
      <c r="AK83" s="2"/>
      <c r="AL83" s="6">
        <f t="shared" si="37"/>
        <v>0</v>
      </c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6">
        <f t="shared" si="38"/>
        <v>0</v>
      </c>
    </row>
    <row r="84" spans="1:51" s="65" customFormat="1" ht="15" thickBot="1">
      <c r="A84" s="1" t="s">
        <v>142</v>
      </c>
      <c r="B84" s="103" t="s">
        <v>137</v>
      </c>
      <c r="C84" s="63"/>
      <c r="D84" s="103"/>
      <c r="E84" s="101">
        <v>0</v>
      </c>
      <c r="F84" s="101"/>
      <c r="G84" s="101"/>
      <c r="H84" s="101"/>
      <c r="I84" s="101"/>
      <c r="J84" s="101"/>
      <c r="K84" s="101"/>
      <c r="L84" s="101"/>
      <c r="M84" s="101"/>
      <c r="N84" s="101"/>
      <c r="O84" s="100"/>
      <c r="P84" s="2"/>
      <c r="Q84" s="6">
        <f t="shared" si="43"/>
        <v>0</v>
      </c>
      <c r="R84" s="4"/>
      <c r="S84" s="6">
        <v>1</v>
      </c>
      <c r="T84" s="9">
        <f t="shared" si="44"/>
        <v>0</v>
      </c>
      <c r="U84" s="6"/>
      <c r="V84" s="3">
        <f t="shared" si="45"/>
        <v>0</v>
      </c>
      <c r="W84" s="3">
        <f t="shared" si="46"/>
        <v>0</v>
      </c>
      <c r="X84" s="7"/>
      <c r="Y84" s="11"/>
      <c r="Z84" s="101">
        <v>0</v>
      </c>
      <c r="AA84" s="101"/>
      <c r="AB84" s="101"/>
      <c r="AC84" s="101"/>
      <c r="AD84" s="101"/>
      <c r="AE84" s="101"/>
      <c r="AF84" s="101"/>
      <c r="AG84" s="101"/>
      <c r="AH84" s="101"/>
      <c r="AI84" s="101"/>
      <c r="AJ84" s="100"/>
      <c r="AK84" s="2"/>
      <c r="AL84" s="6">
        <f t="shared" si="37"/>
        <v>0</v>
      </c>
      <c r="AM84" s="101">
        <v>1</v>
      </c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6">
        <f t="shared" si="38"/>
        <v>1</v>
      </c>
    </row>
    <row r="85" spans="1:51" s="65" customFormat="1" ht="15" thickBot="1">
      <c r="A85" s="1" t="s">
        <v>142</v>
      </c>
      <c r="B85" s="103" t="s">
        <v>138</v>
      </c>
      <c r="C85" s="63"/>
      <c r="D85" s="103"/>
      <c r="E85" s="101">
        <v>0</v>
      </c>
      <c r="F85" s="101">
        <v>0</v>
      </c>
      <c r="G85" s="101"/>
      <c r="H85" s="101"/>
      <c r="I85" s="101"/>
      <c r="J85" s="101"/>
      <c r="K85" s="101"/>
      <c r="L85" s="101"/>
      <c r="M85" s="101"/>
      <c r="N85" s="101"/>
      <c r="O85" s="100"/>
      <c r="P85" s="2"/>
      <c r="Q85" s="6">
        <f t="shared" si="43"/>
        <v>0</v>
      </c>
      <c r="R85" s="4"/>
      <c r="S85" s="6">
        <v>2</v>
      </c>
      <c r="T85" s="9">
        <f t="shared" si="44"/>
        <v>2</v>
      </c>
      <c r="U85" s="6"/>
      <c r="V85" s="3">
        <f t="shared" si="45"/>
        <v>0</v>
      </c>
      <c r="W85" s="3">
        <f t="shared" si="46"/>
        <v>0</v>
      </c>
      <c r="X85" s="7"/>
      <c r="Y85" s="11"/>
      <c r="Z85" s="101"/>
      <c r="AA85" s="101">
        <v>0</v>
      </c>
      <c r="AB85" s="101"/>
      <c r="AC85" s="101"/>
      <c r="AD85" s="101"/>
      <c r="AE85" s="101"/>
      <c r="AF85" s="101"/>
      <c r="AG85" s="101"/>
      <c r="AH85" s="101"/>
      <c r="AI85" s="101"/>
      <c r="AJ85" s="100"/>
      <c r="AK85" s="2"/>
      <c r="AL85" s="6">
        <f t="shared" si="37"/>
        <v>0</v>
      </c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6">
        <f t="shared" si="38"/>
        <v>0</v>
      </c>
    </row>
    <row r="86" spans="1:51" s="65" customFormat="1" ht="15" thickBot="1">
      <c r="A86" s="1" t="s">
        <v>142</v>
      </c>
      <c r="B86" s="103" t="s">
        <v>139</v>
      </c>
      <c r="C86" s="63"/>
      <c r="D86" s="103"/>
      <c r="E86" s="101">
        <v>1</v>
      </c>
      <c r="F86" s="101">
        <v>0</v>
      </c>
      <c r="G86" s="101"/>
      <c r="H86" s="101"/>
      <c r="I86" s="101"/>
      <c r="J86" s="101"/>
      <c r="K86" s="101"/>
      <c r="L86" s="101"/>
      <c r="M86" s="101"/>
      <c r="N86" s="101"/>
      <c r="O86" s="100"/>
      <c r="P86" s="2"/>
      <c r="Q86" s="6">
        <f t="shared" si="43"/>
        <v>1</v>
      </c>
      <c r="R86" s="4"/>
      <c r="S86" s="6">
        <v>3</v>
      </c>
      <c r="T86" s="9">
        <f t="shared" si="44"/>
        <v>3</v>
      </c>
      <c r="U86" s="6"/>
      <c r="V86" s="3">
        <f t="shared" si="45"/>
        <v>0</v>
      </c>
      <c r="W86" s="3">
        <f t="shared" si="46"/>
        <v>0</v>
      </c>
      <c r="X86" s="7"/>
      <c r="Y86" s="1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0"/>
      <c r="AK86" s="2"/>
      <c r="AL86" s="6">
        <f t="shared" si="37"/>
        <v>0</v>
      </c>
      <c r="AM86" s="106">
        <v>0</v>
      </c>
      <c r="AN86" s="106">
        <v>0</v>
      </c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6">
        <f t="shared" si="38"/>
        <v>0</v>
      </c>
    </row>
    <row r="87" spans="1:51" s="65" customFormat="1" ht="15" thickBot="1">
      <c r="A87" s="1" t="s">
        <v>142</v>
      </c>
      <c r="B87" s="103" t="s">
        <v>140</v>
      </c>
      <c r="C87" s="63"/>
      <c r="D87" s="103"/>
      <c r="E87" s="101">
        <v>1</v>
      </c>
      <c r="F87" s="101">
        <v>0</v>
      </c>
      <c r="G87" s="101"/>
      <c r="H87" s="101"/>
      <c r="I87" s="101"/>
      <c r="J87" s="101"/>
      <c r="K87" s="101"/>
      <c r="L87" s="101"/>
      <c r="M87" s="101"/>
      <c r="N87" s="101"/>
      <c r="O87" s="100"/>
      <c r="P87" s="2"/>
      <c r="Q87" s="6">
        <f t="shared" si="43"/>
        <v>1</v>
      </c>
      <c r="R87" s="4"/>
      <c r="S87" s="6">
        <v>4</v>
      </c>
      <c r="T87" s="9">
        <f t="shared" si="44"/>
        <v>4</v>
      </c>
      <c r="U87" s="6"/>
      <c r="V87" s="3">
        <f t="shared" si="45"/>
        <v>0</v>
      </c>
      <c r="W87" s="3">
        <f t="shared" si="46"/>
        <v>0</v>
      </c>
      <c r="X87" s="7"/>
      <c r="Y87" s="1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0"/>
      <c r="AK87" s="2"/>
      <c r="AL87" s="6">
        <f t="shared" si="37"/>
        <v>0</v>
      </c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6">
        <f t="shared" si="38"/>
        <v>0</v>
      </c>
    </row>
    <row r="88" spans="1:51" s="65" customFormat="1" ht="15" thickBot="1">
      <c r="A88" s="1" t="s">
        <v>142</v>
      </c>
      <c r="B88" s="103" t="s">
        <v>141</v>
      </c>
      <c r="C88" s="63"/>
      <c r="D88" s="103"/>
      <c r="E88" s="101">
        <v>0</v>
      </c>
      <c r="F88" s="101">
        <v>2</v>
      </c>
      <c r="G88" s="101"/>
      <c r="H88" s="101"/>
      <c r="I88" s="101"/>
      <c r="J88" s="101"/>
      <c r="K88" s="101"/>
      <c r="L88" s="101"/>
      <c r="M88" s="101"/>
      <c r="N88" s="101"/>
      <c r="O88" s="100"/>
      <c r="P88" s="2"/>
      <c r="Q88" s="6">
        <f t="shared" si="43"/>
        <v>2</v>
      </c>
      <c r="R88" s="4"/>
      <c r="S88" s="6">
        <v>3</v>
      </c>
      <c r="T88" s="9">
        <f t="shared" si="44"/>
        <v>3</v>
      </c>
      <c r="U88" s="6"/>
      <c r="V88" s="3">
        <f t="shared" si="45"/>
        <v>0</v>
      </c>
      <c r="W88" s="3">
        <f t="shared" si="46"/>
        <v>0</v>
      </c>
      <c r="X88" s="7"/>
      <c r="Y88" s="11"/>
      <c r="Z88" s="101">
        <v>0</v>
      </c>
      <c r="AA88" s="101"/>
      <c r="AB88" s="101"/>
      <c r="AC88" s="101"/>
      <c r="AD88" s="101"/>
      <c r="AE88" s="101"/>
      <c r="AF88" s="101"/>
      <c r="AG88" s="101"/>
      <c r="AH88" s="101"/>
      <c r="AI88" s="101"/>
      <c r="AJ88" s="100"/>
      <c r="AK88" s="2"/>
      <c r="AL88" s="6">
        <f t="shared" si="37"/>
        <v>0</v>
      </c>
      <c r="AM88" s="106">
        <v>0</v>
      </c>
      <c r="AN88" s="106">
        <v>0</v>
      </c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6">
        <f t="shared" si="38"/>
        <v>0</v>
      </c>
    </row>
    <row r="89" spans="1:51" s="65" customFormat="1" ht="15" thickBot="1">
      <c r="A89" s="196" t="s">
        <v>224</v>
      </c>
      <c r="B89" s="197"/>
      <c r="C89" s="45">
        <f>+D89/Metas!G36</f>
        <v>1.4121589277166104</v>
      </c>
      <c r="D89" s="19">
        <f>+Q89/R89</f>
        <v>0.028243178554332216</v>
      </c>
      <c r="E89" s="14">
        <f aca="true" t="shared" si="47" ref="E89:P89">SUM(E79:E88)</f>
        <v>22</v>
      </c>
      <c r="F89" s="14">
        <f t="shared" si="47"/>
        <v>37</v>
      </c>
      <c r="G89" s="14">
        <f t="shared" si="47"/>
        <v>0</v>
      </c>
      <c r="H89" s="14">
        <f t="shared" si="47"/>
        <v>0</v>
      </c>
      <c r="I89" s="14">
        <f t="shared" si="47"/>
        <v>0</v>
      </c>
      <c r="J89" s="14">
        <f t="shared" si="47"/>
        <v>0</v>
      </c>
      <c r="K89" s="14">
        <f t="shared" si="47"/>
        <v>0</v>
      </c>
      <c r="L89" s="14">
        <f t="shared" si="47"/>
        <v>0</v>
      </c>
      <c r="M89" s="14">
        <f t="shared" si="47"/>
        <v>0</v>
      </c>
      <c r="N89" s="14">
        <f t="shared" si="47"/>
        <v>0</v>
      </c>
      <c r="O89" s="14">
        <f t="shared" si="47"/>
        <v>0</v>
      </c>
      <c r="P89" s="14">
        <f t="shared" si="47"/>
        <v>0</v>
      </c>
      <c r="Q89" s="14">
        <f>SUM(Q79:Q88)</f>
        <v>59</v>
      </c>
      <c r="R89" s="15">
        <f>+Y89-T89</f>
        <v>2089</v>
      </c>
      <c r="S89" s="13">
        <f aca="true" t="shared" si="48" ref="S89:X89">SUM(S79:S88)</f>
        <v>52</v>
      </c>
      <c r="T89" s="13">
        <f t="shared" si="48"/>
        <v>53</v>
      </c>
      <c r="U89" s="13">
        <f t="shared" si="48"/>
        <v>0</v>
      </c>
      <c r="V89" s="13">
        <f t="shared" si="48"/>
        <v>0</v>
      </c>
      <c r="W89" s="13">
        <f t="shared" si="48"/>
        <v>0</v>
      </c>
      <c r="X89" s="13">
        <f t="shared" si="48"/>
        <v>0</v>
      </c>
      <c r="Y89" s="16">
        <v>2142</v>
      </c>
      <c r="Z89" s="13">
        <f>SUM(Z79:Z88)</f>
        <v>1</v>
      </c>
      <c r="AA89" s="13">
        <f aca="true" t="shared" si="49" ref="AA89:AK89">SUM(AA79:AA88)</f>
        <v>1</v>
      </c>
      <c r="AB89" s="13">
        <f t="shared" si="49"/>
        <v>0</v>
      </c>
      <c r="AC89" s="13">
        <f t="shared" si="49"/>
        <v>0</v>
      </c>
      <c r="AD89" s="13">
        <f t="shared" si="49"/>
        <v>0</v>
      </c>
      <c r="AE89" s="13">
        <f t="shared" si="49"/>
        <v>0</v>
      </c>
      <c r="AF89" s="13">
        <f t="shared" si="49"/>
        <v>0</v>
      </c>
      <c r="AG89" s="13">
        <f t="shared" si="49"/>
        <v>0</v>
      </c>
      <c r="AH89" s="13">
        <f t="shared" si="49"/>
        <v>0</v>
      </c>
      <c r="AI89" s="13">
        <f t="shared" si="49"/>
        <v>0</v>
      </c>
      <c r="AJ89" s="13">
        <f t="shared" si="49"/>
        <v>0</v>
      </c>
      <c r="AK89" s="13">
        <f t="shared" si="49"/>
        <v>0</v>
      </c>
      <c r="AL89" s="13">
        <f t="shared" si="37"/>
        <v>2</v>
      </c>
      <c r="AM89" s="13">
        <f aca="true" t="shared" si="50" ref="AM89:AX89">SUM(AM79:AM88)</f>
        <v>1</v>
      </c>
      <c r="AN89" s="13">
        <f t="shared" si="50"/>
        <v>0</v>
      </c>
      <c r="AO89" s="13">
        <f t="shared" si="50"/>
        <v>0</v>
      </c>
      <c r="AP89" s="13">
        <f t="shared" si="50"/>
        <v>0</v>
      </c>
      <c r="AQ89" s="13">
        <f t="shared" si="50"/>
        <v>0</v>
      </c>
      <c r="AR89" s="13">
        <f t="shared" si="50"/>
        <v>0</v>
      </c>
      <c r="AS89" s="13">
        <f t="shared" si="50"/>
        <v>0</v>
      </c>
      <c r="AT89" s="13">
        <f t="shared" si="50"/>
        <v>0</v>
      </c>
      <c r="AU89" s="13">
        <f t="shared" si="50"/>
        <v>0</v>
      </c>
      <c r="AV89" s="13">
        <f t="shared" si="50"/>
        <v>0</v>
      </c>
      <c r="AW89" s="13">
        <f t="shared" si="50"/>
        <v>0</v>
      </c>
      <c r="AX89" s="13">
        <f t="shared" si="50"/>
        <v>0</v>
      </c>
      <c r="AY89" s="13">
        <f t="shared" si="38"/>
        <v>1</v>
      </c>
    </row>
    <row r="90" spans="1:51" s="65" customFormat="1" ht="15" thickBot="1">
      <c r="A90" s="1" t="s">
        <v>159</v>
      </c>
      <c r="B90" s="103" t="s">
        <v>143</v>
      </c>
      <c r="C90" s="63"/>
      <c r="D90" s="103"/>
      <c r="E90" s="101">
        <v>23</v>
      </c>
      <c r="F90" s="101">
        <v>5</v>
      </c>
      <c r="G90" s="101"/>
      <c r="H90" s="101"/>
      <c r="I90" s="101"/>
      <c r="J90" s="101"/>
      <c r="K90" s="101"/>
      <c r="L90" s="101"/>
      <c r="M90" s="101"/>
      <c r="N90" s="101"/>
      <c r="O90" s="100"/>
      <c r="P90" s="2"/>
      <c r="Q90" s="6">
        <f aca="true" t="shared" si="51" ref="Q90:Q105">SUM(E90:P90)</f>
        <v>28</v>
      </c>
      <c r="R90" s="4"/>
      <c r="S90" s="6">
        <v>36</v>
      </c>
      <c r="T90" s="9">
        <f aca="true" t="shared" si="52" ref="T90:T105">+S90+(Z90+AA90+AB90)-(AM90+AN90+AO90)</f>
        <v>38</v>
      </c>
      <c r="U90" s="6"/>
      <c r="V90" s="3">
        <f aca="true" t="shared" si="53" ref="V90:V105">+U90+(AF90+AG90)-(AS90+AT90)</f>
        <v>0</v>
      </c>
      <c r="W90" s="3">
        <f aca="true" t="shared" si="54" ref="W90:W105">+U90+(AF90+AG90+AH90+AI90)-(AS90+AT90+AU90+AV90)</f>
        <v>0</v>
      </c>
      <c r="X90" s="7"/>
      <c r="Y90" s="11"/>
      <c r="Z90" s="101"/>
      <c r="AA90" s="101">
        <v>2</v>
      </c>
      <c r="AB90" s="101"/>
      <c r="AC90" s="101"/>
      <c r="AD90" s="101"/>
      <c r="AE90" s="101"/>
      <c r="AF90" s="101"/>
      <c r="AG90" s="101"/>
      <c r="AH90" s="101"/>
      <c r="AI90" s="101"/>
      <c r="AJ90" s="100"/>
      <c r="AK90" s="2"/>
      <c r="AL90" s="6">
        <f t="shared" si="37"/>
        <v>2</v>
      </c>
      <c r="AM90" s="101"/>
      <c r="AN90" s="101">
        <v>0</v>
      </c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6">
        <f t="shared" si="38"/>
        <v>0</v>
      </c>
    </row>
    <row r="91" spans="1:51" s="65" customFormat="1" ht="15" thickBot="1">
      <c r="A91" s="1" t="s">
        <v>159</v>
      </c>
      <c r="B91" s="103" t="s">
        <v>144</v>
      </c>
      <c r="C91" s="63"/>
      <c r="D91" s="103"/>
      <c r="E91" s="101">
        <v>123</v>
      </c>
      <c r="F91" s="101">
        <v>65</v>
      </c>
      <c r="G91" s="101"/>
      <c r="H91" s="101"/>
      <c r="I91" s="101"/>
      <c r="J91" s="101"/>
      <c r="K91" s="101"/>
      <c r="L91" s="101"/>
      <c r="M91" s="101"/>
      <c r="N91" s="101"/>
      <c r="O91" s="100"/>
      <c r="P91" s="2"/>
      <c r="Q91" s="6">
        <f t="shared" si="51"/>
        <v>188</v>
      </c>
      <c r="R91" s="4"/>
      <c r="S91" s="6">
        <v>56</v>
      </c>
      <c r="T91" s="9">
        <f t="shared" si="52"/>
        <v>60</v>
      </c>
      <c r="U91" s="6"/>
      <c r="V91" s="3">
        <f t="shared" si="53"/>
        <v>0</v>
      </c>
      <c r="W91" s="3">
        <f t="shared" si="54"/>
        <v>0</v>
      </c>
      <c r="X91" s="7"/>
      <c r="Y91" s="11"/>
      <c r="Z91" s="101">
        <v>3</v>
      </c>
      <c r="AA91" s="101">
        <v>1</v>
      </c>
      <c r="AB91" s="101"/>
      <c r="AC91" s="101"/>
      <c r="AD91" s="101"/>
      <c r="AE91" s="101"/>
      <c r="AF91" s="101"/>
      <c r="AG91" s="101"/>
      <c r="AH91" s="101"/>
      <c r="AI91" s="101"/>
      <c r="AJ91" s="100"/>
      <c r="AK91" s="2"/>
      <c r="AL91" s="6">
        <f t="shared" si="37"/>
        <v>4</v>
      </c>
      <c r="AM91" s="101">
        <v>0</v>
      </c>
      <c r="AN91" s="101">
        <v>0</v>
      </c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6">
        <f t="shared" si="38"/>
        <v>0</v>
      </c>
    </row>
    <row r="92" spans="1:51" s="65" customFormat="1" ht="15" thickBot="1">
      <c r="A92" s="1" t="s">
        <v>159</v>
      </c>
      <c r="B92" s="103" t="s">
        <v>145</v>
      </c>
      <c r="C92" s="63"/>
      <c r="D92" s="103"/>
      <c r="E92" s="101">
        <v>21</v>
      </c>
      <c r="F92" s="101">
        <v>47</v>
      </c>
      <c r="G92" s="101"/>
      <c r="H92" s="101"/>
      <c r="I92" s="101"/>
      <c r="J92" s="101"/>
      <c r="K92" s="101"/>
      <c r="L92" s="101"/>
      <c r="M92" s="101"/>
      <c r="N92" s="101"/>
      <c r="O92" s="100"/>
      <c r="P92" s="2"/>
      <c r="Q92" s="6">
        <f t="shared" si="51"/>
        <v>68</v>
      </c>
      <c r="R92" s="4"/>
      <c r="S92" s="6">
        <v>100</v>
      </c>
      <c r="T92" s="9">
        <f t="shared" si="52"/>
        <v>101</v>
      </c>
      <c r="U92" s="6"/>
      <c r="V92" s="3">
        <f t="shared" si="53"/>
        <v>0</v>
      </c>
      <c r="W92" s="3">
        <f t="shared" si="54"/>
        <v>0</v>
      </c>
      <c r="X92" s="7"/>
      <c r="Y92" s="11"/>
      <c r="Z92" s="101">
        <v>1</v>
      </c>
      <c r="AA92" s="101">
        <v>0</v>
      </c>
      <c r="AB92" s="101"/>
      <c r="AC92" s="101"/>
      <c r="AD92" s="101"/>
      <c r="AE92" s="101"/>
      <c r="AF92" s="101"/>
      <c r="AG92" s="101"/>
      <c r="AH92" s="101"/>
      <c r="AI92" s="101"/>
      <c r="AJ92" s="100"/>
      <c r="AK92" s="2"/>
      <c r="AL92" s="6">
        <f t="shared" si="37"/>
        <v>1</v>
      </c>
      <c r="AM92" s="106">
        <v>0</v>
      </c>
      <c r="AN92" s="106">
        <v>0</v>
      </c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6">
        <f t="shared" si="38"/>
        <v>0</v>
      </c>
    </row>
    <row r="93" spans="1:51" s="65" customFormat="1" ht="15" thickBot="1">
      <c r="A93" s="1" t="s">
        <v>159</v>
      </c>
      <c r="B93" s="103" t="s">
        <v>146</v>
      </c>
      <c r="C93" s="63"/>
      <c r="D93" s="103"/>
      <c r="E93" s="101">
        <v>16</v>
      </c>
      <c r="F93" s="101">
        <v>16</v>
      </c>
      <c r="G93" s="101"/>
      <c r="H93" s="101"/>
      <c r="I93" s="101"/>
      <c r="J93" s="101"/>
      <c r="K93" s="101"/>
      <c r="L93" s="101"/>
      <c r="M93" s="101"/>
      <c r="N93" s="101"/>
      <c r="O93" s="100"/>
      <c r="P93" s="2"/>
      <c r="Q93" s="6">
        <f t="shared" si="51"/>
        <v>32</v>
      </c>
      <c r="R93" s="4"/>
      <c r="S93" s="6">
        <v>25</v>
      </c>
      <c r="T93" s="9">
        <f t="shared" si="52"/>
        <v>27</v>
      </c>
      <c r="U93" s="6"/>
      <c r="V93" s="3">
        <f t="shared" si="53"/>
        <v>0</v>
      </c>
      <c r="W93" s="3">
        <f t="shared" si="54"/>
        <v>0</v>
      </c>
      <c r="X93" s="7"/>
      <c r="Y93" s="11"/>
      <c r="Z93" s="101">
        <v>0</v>
      </c>
      <c r="AA93" s="101">
        <v>2</v>
      </c>
      <c r="AB93" s="101"/>
      <c r="AC93" s="101"/>
      <c r="AD93" s="101"/>
      <c r="AE93" s="101"/>
      <c r="AF93" s="101"/>
      <c r="AG93" s="101"/>
      <c r="AH93" s="101"/>
      <c r="AI93" s="101"/>
      <c r="AJ93" s="100"/>
      <c r="AK93" s="2"/>
      <c r="AL93" s="6">
        <f t="shared" si="37"/>
        <v>2</v>
      </c>
      <c r="AM93" s="101">
        <v>0</v>
      </c>
      <c r="AN93" s="101">
        <v>0</v>
      </c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6">
        <f t="shared" si="38"/>
        <v>0</v>
      </c>
    </row>
    <row r="94" spans="1:51" s="65" customFormat="1" ht="15" thickBot="1">
      <c r="A94" s="1" t="s">
        <v>159</v>
      </c>
      <c r="B94" s="103" t="s">
        <v>147</v>
      </c>
      <c r="C94" s="63"/>
      <c r="D94" s="103"/>
      <c r="E94" s="101">
        <v>0</v>
      </c>
      <c r="F94" s="101">
        <v>0</v>
      </c>
      <c r="G94" s="101"/>
      <c r="H94" s="101"/>
      <c r="I94" s="101"/>
      <c r="J94" s="101"/>
      <c r="K94" s="101"/>
      <c r="L94" s="101"/>
      <c r="M94" s="101"/>
      <c r="N94" s="101"/>
      <c r="O94" s="100"/>
      <c r="P94" s="2"/>
      <c r="Q94" s="6">
        <f t="shared" si="51"/>
        <v>0</v>
      </c>
      <c r="R94" s="4"/>
      <c r="S94" s="6">
        <v>7</v>
      </c>
      <c r="T94" s="9">
        <f t="shared" si="52"/>
        <v>8</v>
      </c>
      <c r="U94" s="6"/>
      <c r="V94" s="3">
        <f t="shared" si="53"/>
        <v>0</v>
      </c>
      <c r="W94" s="3">
        <f t="shared" si="54"/>
        <v>0</v>
      </c>
      <c r="X94" s="7"/>
      <c r="Y94" s="11"/>
      <c r="Z94" s="101">
        <v>1</v>
      </c>
      <c r="AA94" s="101"/>
      <c r="AB94" s="101"/>
      <c r="AC94" s="101"/>
      <c r="AD94" s="101"/>
      <c r="AE94" s="101"/>
      <c r="AF94" s="101"/>
      <c r="AG94" s="101"/>
      <c r="AH94" s="101"/>
      <c r="AI94" s="101"/>
      <c r="AJ94" s="100"/>
      <c r="AK94" s="2"/>
      <c r="AL94" s="6">
        <f t="shared" si="37"/>
        <v>1</v>
      </c>
      <c r="AM94" s="101">
        <v>0</v>
      </c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6">
        <f t="shared" si="38"/>
        <v>0</v>
      </c>
    </row>
    <row r="95" spans="1:51" s="65" customFormat="1" ht="15" thickBot="1">
      <c r="A95" s="1" t="s">
        <v>159</v>
      </c>
      <c r="B95" s="103" t="s">
        <v>148</v>
      </c>
      <c r="C95" s="63"/>
      <c r="D95" s="103"/>
      <c r="E95" s="101"/>
      <c r="F95" s="101">
        <v>1</v>
      </c>
      <c r="G95" s="101"/>
      <c r="H95" s="101"/>
      <c r="I95" s="101"/>
      <c r="J95" s="101"/>
      <c r="K95" s="101"/>
      <c r="L95" s="101"/>
      <c r="M95" s="101"/>
      <c r="N95" s="101"/>
      <c r="O95" s="100"/>
      <c r="P95" s="2"/>
      <c r="Q95" s="6">
        <f t="shared" si="51"/>
        <v>1</v>
      </c>
      <c r="R95" s="4"/>
      <c r="S95" s="6">
        <v>13</v>
      </c>
      <c r="T95" s="9">
        <f t="shared" si="52"/>
        <v>14</v>
      </c>
      <c r="U95" s="6"/>
      <c r="V95" s="3">
        <f t="shared" si="53"/>
        <v>0</v>
      </c>
      <c r="W95" s="3">
        <f t="shared" si="54"/>
        <v>0</v>
      </c>
      <c r="X95" s="7"/>
      <c r="Y95" s="11"/>
      <c r="Z95" s="101">
        <v>1</v>
      </c>
      <c r="AA95" s="101">
        <v>0</v>
      </c>
      <c r="AB95" s="101"/>
      <c r="AC95" s="101"/>
      <c r="AD95" s="101"/>
      <c r="AE95" s="101"/>
      <c r="AF95" s="101"/>
      <c r="AG95" s="101"/>
      <c r="AH95" s="101"/>
      <c r="AI95" s="101"/>
      <c r="AJ95" s="100"/>
      <c r="AK95" s="2"/>
      <c r="AL95" s="6">
        <f t="shared" si="37"/>
        <v>1</v>
      </c>
      <c r="AM95" s="101">
        <v>0</v>
      </c>
      <c r="AN95" s="101">
        <v>0</v>
      </c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6">
        <f t="shared" si="38"/>
        <v>0</v>
      </c>
    </row>
    <row r="96" spans="1:51" s="65" customFormat="1" ht="15" thickBot="1">
      <c r="A96" s="1" t="s">
        <v>159</v>
      </c>
      <c r="B96" s="103" t="s">
        <v>149</v>
      </c>
      <c r="C96" s="63"/>
      <c r="D96" s="103"/>
      <c r="E96" s="101"/>
      <c r="F96" s="101">
        <v>5</v>
      </c>
      <c r="G96" s="101"/>
      <c r="H96" s="101"/>
      <c r="I96" s="101"/>
      <c r="J96" s="101"/>
      <c r="K96" s="101"/>
      <c r="L96" s="101"/>
      <c r="M96" s="101"/>
      <c r="N96" s="101"/>
      <c r="O96" s="100"/>
      <c r="P96" s="2"/>
      <c r="Q96" s="6">
        <f t="shared" si="51"/>
        <v>5</v>
      </c>
      <c r="R96" s="4"/>
      <c r="S96" s="6">
        <v>6</v>
      </c>
      <c r="T96" s="9">
        <f t="shared" si="52"/>
        <v>6</v>
      </c>
      <c r="U96" s="6"/>
      <c r="V96" s="3">
        <f t="shared" si="53"/>
        <v>0</v>
      </c>
      <c r="W96" s="3">
        <f t="shared" si="54"/>
        <v>0</v>
      </c>
      <c r="X96" s="7"/>
      <c r="Y96" s="11"/>
      <c r="Z96" s="106"/>
      <c r="AA96" s="106">
        <v>0</v>
      </c>
      <c r="AB96" s="101"/>
      <c r="AC96" s="101"/>
      <c r="AD96" s="101"/>
      <c r="AE96" s="101"/>
      <c r="AF96" s="101"/>
      <c r="AG96" s="101"/>
      <c r="AH96" s="101"/>
      <c r="AI96" s="101"/>
      <c r="AJ96" s="100"/>
      <c r="AK96" s="2"/>
      <c r="AL96" s="6">
        <f t="shared" si="37"/>
        <v>0</v>
      </c>
      <c r="AM96" s="106">
        <v>0</v>
      </c>
      <c r="AN96" s="106">
        <v>0</v>
      </c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6">
        <f t="shared" si="38"/>
        <v>0</v>
      </c>
    </row>
    <row r="97" spans="1:51" s="65" customFormat="1" ht="15" thickBot="1">
      <c r="A97" s="1" t="s">
        <v>159</v>
      </c>
      <c r="B97" s="103" t="s">
        <v>150</v>
      </c>
      <c r="C97" s="63"/>
      <c r="D97" s="103"/>
      <c r="E97" s="101">
        <v>0</v>
      </c>
      <c r="F97" s="101">
        <v>0</v>
      </c>
      <c r="G97" s="101"/>
      <c r="H97" s="101"/>
      <c r="I97" s="101"/>
      <c r="J97" s="101"/>
      <c r="K97" s="101"/>
      <c r="L97" s="101"/>
      <c r="M97" s="101"/>
      <c r="N97" s="101"/>
      <c r="O97" s="100"/>
      <c r="P97" s="2"/>
      <c r="Q97" s="6">
        <f t="shared" si="51"/>
        <v>0</v>
      </c>
      <c r="R97" s="4"/>
      <c r="S97" s="6">
        <v>4</v>
      </c>
      <c r="T97" s="9">
        <f t="shared" si="52"/>
        <v>4</v>
      </c>
      <c r="U97" s="6"/>
      <c r="V97" s="3">
        <f t="shared" si="53"/>
        <v>0</v>
      </c>
      <c r="W97" s="3">
        <f t="shared" si="54"/>
        <v>0</v>
      </c>
      <c r="X97" s="7"/>
      <c r="Y97" s="1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0"/>
      <c r="AK97" s="2"/>
      <c r="AL97" s="6">
        <f t="shared" si="37"/>
        <v>0</v>
      </c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6">
        <f t="shared" si="38"/>
        <v>0</v>
      </c>
    </row>
    <row r="98" spans="1:51" s="65" customFormat="1" ht="15" thickBot="1">
      <c r="A98" s="1" t="s">
        <v>159</v>
      </c>
      <c r="B98" s="103" t="s">
        <v>151</v>
      </c>
      <c r="C98" s="63"/>
      <c r="D98" s="103"/>
      <c r="E98" s="101"/>
      <c r="F98" s="101">
        <v>0</v>
      </c>
      <c r="G98" s="101"/>
      <c r="H98" s="101"/>
      <c r="I98" s="101"/>
      <c r="J98" s="101"/>
      <c r="K98" s="101"/>
      <c r="L98" s="101"/>
      <c r="M98" s="101"/>
      <c r="N98" s="101"/>
      <c r="O98" s="100"/>
      <c r="P98" s="2"/>
      <c r="Q98" s="6">
        <f t="shared" si="51"/>
        <v>0</v>
      </c>
      <c r="R98" s="4"/>
      <c r="S98" s="6">
        <v>7</v>
      </c>
      <c r="T98" s="9">
        <f t="shared" si="52"/>
        <v>7</v>
      </c>
      <c r="U98" s="6"/>
      <c r="V98" s="3">
        <f t="shared" si="53"/>
        <v>0</v>
      </c>
      <c r="W98" s="3">
        <f t="shared" si="54"/>
        <v>0</v>
      </c>
      <c r="X98" s="7"/>
      <c r="Y98" s="11"/>
      <c r="Z98" s="101">
        <v>0</v>
      </c>
      <c r="AA98" s="101">
        <v>0</v>
      </c>
      <c r="AB98" s="101"/>
      <c r="AC98" s="101"/>
      <c r="AD98" s="101"/>
      <c r="AE98" s="101"/>
      <c r="AF98" s="101"/>
      <c r="AG98" s="101"/>
      <c r="AH98" s="101"/>
      <c r="AI98" s="101"/>
      <c r="AJ98" s="100"/>
      <c r="AK98" s="2"/>
      <c r="AL98" s="6">
        <f t="shared" si="37"/>
        <v>0</v>
      </c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6">
        <f t="shared" si="38"/>
        <v>0</v>
      </c>
    </row>
    <row r="99" spans="1:51" s="65" customFormat="1" ht="15" thickBot="1">
      <c r="A99" s="1" t="s">
        <v>159</v>
      </c>
      <c r="B99" s="103" t="s">
        <v>152</v>
      </c>
      <c r="C99" s="63"/>
      <c r="D99" s="103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0"/>
      <c r="P99" s="2"/>
      <c r="Q99" s="6">
        <f t="shared" si="51"/>
        <v>0</v>
      </c>
      <c r="R99" s="4"/>
      <c r="S99" s="6">
        <v>7</v>
      </c>
      <c r="T99" s="9">
        <f t="shared" si="52"/>
        <v>7</v>
      </c>
      <c r="U99" s="6"/>
      <c r="V99" s="3">
        <f t="shared" si="53"/>
        <v>0</v>
      </c>
      <c r="W99" s="3">
        <f t="shared" si="54"/>
        <v>0</v>
      </c>
      <c r="X99" s="7"/>
      <c r="Y99" s="11"/>
      <c r="Z99" s="101"/>
      <c r="AA99" s="101">
        <v>0</v>
      </c>
      <c r="AB99" s="101"/>
      <c r="AC99" s="101"/>
      <c r="AD99" s="101"/>
      <c r="AE99" s="101"/>
      <c r="AF99" s="101"/>
      <c r="AG99" s="101"/>
      <c r="AH99" s="101"/>
      <c r="AI99" s="101"/>
      <c r="AJ99" s="100"/>
      <c r="AK99" s="2"/>
      <c r="AL99" s="6">
        <f t="shared" si="37"/>
        <v>0</v>
      </c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6">
        <f t="shared" si="38"/>
        <v>0</v>
      </c>
    </row>
    <row r="100" spans="1:51" s="65" customFormat="1" ht="15" thickBot="1">
      <c r="A100" s="1" t="s">
        <v>159</v>
      </c>
      <c r="B100" s="103" t="s">
        <v>153</v>
      </c>
      <c r="C100" s="63"/>
      <c r="D100" s="103"/>
      <c r="E100" s="101"/>
      <c r="F100" s="101">
        <v>0</v>
      </c>
      <c r="G100" s="101"/>
      <c r="H100" s="101"/>
      <c r="I100" s="101"/>
      <c r="J100" s="101"/>
      <c r="K100" s="101"/>
      <c r="L100" s="101"/>
      <c r="M100" s="101"/>
      <c r="N100" s="101"/>
      <c r="O100" s="100"/>
      <c r="P100" s="2"/>
      <c r="Q100" s="6">
        <f t="shared" si="51"/>
        <v>0</v>
      </c>
      <c r="R100" s="4"/>
      <c r="S100" s="6">
        <v>8</v>
      </c>
      <c r="T100" s="9">
        <f t="shared" si="52"/>
        <v>8</v>
      </c>
      <c r="U100" s="6"/>
      <c r="V100" s="3">
        <f t="shared" si="53"/>
        <v>0</v>
      </c>
      <c r="W100" s="3">
        <f t="shared" si="54"/>
        <v>0</v>
      </c>
      <c r="X100" s="7"/>
      <c r="Y100" s="11"/>
      <c r="Z100" s="106">
        <v>0</v>
      </c>
      <c r="AA100" s="106"/>
      <c r="AB100" s="101"/>
      <c r="AC100" s="101"/>
      <c r="AD100" s="101"/>
      <c r="AE100" s="101"/>
      <c r="AF100" s="101"/>
      <c r="AG100" s="101"/>
      <c r="AH100" s="101"/>
      <c r="AI100" s="101"/>
      <c r="AJ100" s="100"/>
      <c r="AK100" s="2"/>
      <c r="AL100" s="6">
        <f t="shared" si="37"/>
        <v>0</v>
      </c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6">
        <f t="shared" si="38"/>
        <v>0</v>
      </c>
    </row>
    <row r="101" spans="1:51" s="65" customFormat="1" ht="15" thickBot="1">
      <c r="A101" s="1" t="s">
        <v>159</v>
      </c>
      <c r="B101" s="103" t="s">
        <v>154</v>
      </c>
      <c r="C101" s="63"/>
      <c r="D101" s="103"/>
      <c r="E101" s="101">
        <v>2</v>
      </c>
      <c r="F101" s="101">
        <v>4</v>
      </c>
      <c r="G101" s="101"/>
      <c r="H101" s="101"/>
      <c r="I101" s="101"/>
      <c r="J101" s="101"/>
      <c r="K101" s="101"/>
      <c r="L101" s="101"/>
      <c r="M101" s="101"/>
      <c r="N101" s="101"/>
      <c r="O101" s="100"/>
      <c r="P101" s="2"/>
      <c r="Q101" s="6">
        <f t="shared" si="51"/>
        <v>6</v>
      </c>
      <c r="R101" s="4"/>
      <c r="S101" s="6">
        <v>2</v>
      </c>
      <c r="T101" s="9">
        <f t="shared" si="52"/>
        <v>2</v>
      </c>
      <c r="U101" s="6"/>
      <c r="V101" s="3">
        <f t="shared" si="53"/>
        <v>0</v>
      </c>
      <c r="W101" s="3">
        <f t="shared" si="54"/>
        <v>0</v>
      </c>
      <c r="X101" s="7"/>
      <c r="Y101" s="11"/>
      <c r="Z101" s="106"/>
      <c r="AA101" s="106"/>
      <c r="AB101" s="101"/>
      <c r="AC101" s="101"/>
      <c r="AD101" s="101"/>
      <c r="AE101" s="101"/>
      <c r="AF101" s="101"/>
      <c r="AG101" s="101"/>
      <c r="AH101" s="101"/>
      <c r="AI101" s="101"/>
      <c r="AJ101" s="100"/>
      <c r="AK101" s="2"/>
      <c r="AL101" s="6">
        <f t="shared" si="37"/>
        <v>0</v>
      </c>
      <c r="AM101" s="101">
        <v>0</v>
      </c>
      <c r="AN101" s="101">
        <v>0</v>
      </c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6">
        <f t="shared" si="38"/>
        <v>0</v>
      </c>
    </row>
    <row r="102" spans="1:51" s="65" customFormat="1" ht="15" thickBot="1">
      <c r="A102" s="1" t="s">
        <v>159</v>
      </c>
      <c r="B102" s="103" t="s">
        <v>155</v>
      </c>
      <c r="C102" s="63"/>
      <c r="D102" s="103"/>
      <c r="E102" s="101">
        <v>6</v>
      </c>
      <c r="F102" s="101">
        <v>6</v>
      </c>
      <c r="G102" s="101"/>
      <c r="H102" s="101"/>
      <c r="I102" s="101"/>
      <c r="J102" s="101"/>
      <c r="K102" s="101"/>
      <c r="L102" s="101"/>
      <c r="M102" s="101"/>
      <c r="N102" s="101"/>
      <c r="O102" s="100"/>
      <c r="P102" s="2"/>
      <c r="Q102" s="6">
        <f t="shared" si="51"/>
        <v>12</v>
      </c>
      <c r="R102" s="4"/>
      <c r="S102" s="6">
        <v>7</v>
      </c>
      <c r="T102" s="9">
        <f t="shared" si="52"/>
        <v>8</v>
      </c>
      <c r="U102" s="6"/>
      <c r="V102" s="3">
        <f t="shared" si="53"/>
        <v>0</v>
      </c>
      <c r="W102" s="3">
        <f t="shared" si="54"/>
        <v>0</v>
      </c>
      <c r="X102" s="7"/>
      <c r="Y102" s="11"/>
      <c r="Z102" s="101">
        <v>0</v>
      </c>
      <c r="AA102" s="101">
        <v>1</v>
      </c>
      <c r="AB102" s="101"/>
      <c r="AC102" s="101"/>
      <c r="AD102" s="101"/>
      <c r="AE102" s="101"/>
      <c r="AF102" s="101"/>
      <c r="AG102" s="101"/>
      <c r="AH102" s="101"/>
      <c r="AI102" s="101"/>
      <c r="AJ102" s="100"/>
      <c r="AK102" s="2"/>
      <c r="AL102" s="6">
        <f>SUM(Z102:AK102)</f>
        <v>1</v>
      </c>
      <c r="AM102" s="101">
        <v>0</v>
      </c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6">
        <f t="shared" si="38"/>
        <v>0</v>
      </c>
    </row>
    <row r="103" spans="1:51" s="65" customFormat="1" ht="15" thickBot="1">
      <c r="A103" s="1" t="s">
        <v>159</v>
      </c>
      <c r="B103" s="103" t="s">
        <v>156</v>
      </c>
      <c r="C103" s="63"/>
      <c r="D103" s="103"/>
      <c r="E103" s="101">
        <v>0</v>
      </c>
      <c r="F103" s="101">
        <v>2</v>
      </c>
      <c r="G103" s="101"/>
      <c r="H103" s="101"/>
      <c r="I103" s="101"/>
      <c r="J103" s="101"/>
      <c r="K103" s="101"/>
      <c r="L103" s="101"/>
      <c r="M103" s="101"/>
      <c r="N103" s="101"/>
      <c r="O103" s="100"/>
      <c r="P103" s="2"/>
      <c r="Q103" s="6">
        <f t="shared" si="51"/>
        <v>2</v>
      </c>
      <c r="R103" s="4"/>
      <c r="S103" s="6">
        <v>16</v>
      </c>
      <c r="T103" s="9">
        <f t="shared" si="52"/>
        <v>16</v>
      </c>
      <c r="U103" s="6"/>
      <c r="V103" s="3">
        <f t="shared" si="53"/>
        <v>0</v>
      </c>
      <c r="W103" s="3">
        <f t="shared" si="54"/>
        <v>0</v>
      </c>
      <c r="X103" s="7"/>
      <c r="Y103" s="11"/>
      <c r="Z103" s="101">
        <v>0</v>
      </c>
      <c r="AA103" s="101">
        <v>0</v>
      </c>
      <c r="AB103" s="101"/>
      <c r="AC103" s="101"/>
      <c r="AD103" s="101"/>
      <c r="AE103" s="101"/>
      <c r="AF103" s="101"/>
      <c r="AG103" s="101"/>
      <c r="AH103" s="101"/>
      <c r="AI103" s="101"/>
      <c r="AJ103" s="100"/>
      <c r="AK103" s="2"/>
      <c r="AL103" s="6">
        <f>SUM(Z103:AK103)</f>
        <v>0</v>
      </c>
      <c r="AM103" s="101">
        <v>0</v>
      </c>
      <c r="AN103" s="101">
        <v>0</v>
      </c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6">
        <f t="shared" si="38"/>
        <v>0</v>
      </c>
    </row>
    <row r="104" spans="1:51" s="65" customFormat="1" ht="15" thickBot="1">
      <c r="A104" s="1" t="s">
        <v>159</v>
      </c>
      <c r="B104" s="103" t="s">
        <v>157</v>
      </c>
      <c r="C104" s="63"/>
      <c r="D104" s="103"/>
      <c r="E104" s="101">
        <v>5</v>
      </c>
      <c r="F104" s="101">
        <v>22</v>
      </c>
      <c r="G104" s="101"/>
      <c r="H104" s="101"/>
      <c r="I104" s="101"/>
      <c r="J104" s="101"/>
      <c r="K104" s="101"/>
      <c r="L104" s="101"/>
      <c r="M104" s="101"/>
      <c r="N104" s="101"/>
      <c r="O104" s="100"/>
      <c r="P104" s="2"/>
      <c r="Q104" s="6">
        <f t="shared" si="51"/>
        <v>27</v>
      </c>
      <c r="R104" s="4"/>
      <c r="S104" s="6">
        <v>18</v>
      </c>
      <c r="T104" s="9">
        <f t="shared" si="52"/>
        <v>20</v>
      </c>
      <c r="U104" s="6"/>
      <c r="V104" s="3">
        <f t="shared" si="53"/>
        <v>0</v>
      </c>
      <c r="W104" s="3">
        <f t="shared" si="54"/>
        <v>0</v>
      </c>
      <c r="X104" s="7"/>
      <c r="Y104" s="11"/>
      <c r="Z104" s="101">
        <v>1</v>
      </c>
      <c r="AA104" s="101">
        <v>1</v>
      </c>
      <c r="AB104" s="101"/>
      <c r="AC104" s="101"/>
      <c r="AD104" s="101"/>
      <c r="AE104" s="101"/>
      <c r="AF104" s="101"/>
      <c r="AG104" s="101"/>
      <c r="AH104" s="101"/>
      <c r="AI104" s="101"/>
      <c r="AJ104" s="100"/>
      <c r="AK104" s="2"/>
      <c r="AL104" s="6">
        <f>SUM(Z104:AK104)</f>
        <v>2</v>
      </c>
      <c r="AM104" s="106">
        <v>0</v>
      </c>
      <c r="AN104" s="106">
        <v>0</v>
      </c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6">
        <f t="shared" si="38"/>
        <v>0</v>
      </c>
    </row>
    <row r="105" spans="1:51" s="65" customFormat="1" ht="15" thickBot="1">
      <c r="A105" s="1" t="s">
        <v>159</v>
      </c>
      <c r="B105" s="103" t="s">
        <v>158</v>
      </c>
      <c r="C105" s="63"/>
      <c r="D105" s="103"/>
      <c r="E105" s="101">
        <v>3</v>
      </c>
      <c r="F105" s="101">
        <v>6</v>
      </c>
      <c r="G105" s="101"/>
      <c r="H105" s="101"/>
      <c r="I105" s="101"/>
      <c r="J105" s="101"/>
      <c r="K105" s="101"/>
      <c r="L105" s="101"/>
      <c r="M105" s="101"/>
      <c r="N105" s="101"/>
      <c r="O105" s="100"/>
      <c r="P105" s="2"/>
      <c r="Q105" s="6">
        <f t="shared" si="51"/>
        <v>9</v>
      </c>
      <c r="R105" s="4"/>
      <c r="S105" s="6">
        <v>16</v>
      </c>
      <c r="T105" s="9">
        <f t="shared" si="52"/>
        <v>17</v>
      </c>
      <c r="U105" s="6"/>
      <c r="V105" s="3">
        <f t="shared" si="53"/>
        <v>0</v>
      </c>
      <c r="W105" s="3">
        <f t="shared" si="54"/>
        <v>0</v>
      </c>
      <c r="X105" s="7"/>
      <c r="Y105" s="11"/>
      <c r="Z105" s="101">
        <v>0</v>
      </c>
      <c r="AA105" s="101">
        <v>1</v>
      </c>
      <c r="AB105" s="101"/>
      <c r="AC105" s="101"/>
      <c r="AD105" s="101"/>
      <c r="AE105" s="101"/>
      <c r="AF105" s="101"/>
      <c r="AG105" s="101"/>
      <c r="AH105" s="101"/>
      <c r="AI105" s="101"/>
      <c r="AJ105" s="100"/>
      <c r="AK105" s="2"/>
      <c r="AL105" s="6">
        <f t="shared" si="37"/>
        <v>1</v>
      </c>
      <c r="AM105" s="101">
        <v>0</v>
      </c>
      <c r="AN105" s="101">
        <v>0</v>
      </c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6">
        <f t="shared" si="38"/>
        <v>0</v>
      </c>
    </row>
    <row r="106" spans="1:51" s="65" customFormat="1" ht="15" thickBot="1">
      <c r="A106" s="196" t="s">
        <v>225</v>
      </c>
      <c r="B106" s="197"/>
      <c r="C106" s="45">
        <f>+D106/Metas!G33</f>
        <v>1.2901023890784982</v>
      </c>
      <c r="D106" s="19">
        <f>+Q106/R106</f>
        <v>0.025802047781569967</v>
      </c>
      <c r="E106" s="14">
        <f>SUM(E90:E105)</f>
        <v>199</v>
      </c>
      <c r="F106" s="14">
        <f aca="true" t="shared" si="55" ref="F106:P106">SUM(F90:F105)</f>
        <v>179</v>
      </c>
      <c r="G106" s="14">
        <f t="shared" si="55"/>
        <v>0</v>
      </c>
      <c r="H106" s="14">
        <f t="shared" si="55"/>
        <v>0</v>
      </c>
      <c r="I106" s="14">
        <f t="shared" si="55"/>
        <v>0</v>
      </c>
      <c r="J106" s="14">
        <f t="shared" si="55"/>
        <v>0</v>
      </c>
      <c r="K106" s="14">
        <f t="shared" si="55"/>
        <v>0</v>
      </c>
      <c r="L106" s="14">
        <f t="shared" si="55"/>
        <v>0</v>
      </c>
      <c r="M106" s="14">
        <f t="shared" si="55"/>
        <v>0</v>
      </c>
      <c r="N106" s="14">
        <f t="shared" si="55"/>
        <v>0</v>
      </c>
      <c r="O106" s="14">
        <f t="shared" si="55"/>
        <v>0</v>
      </c>
      <c r="P106" s="14">
        <f t="shared" si="55"/>
        <v>0</v>
      </c>
      <c r="Q106" s="14">
        <f>SUM(Q90:Q105)</f>
        <v>378</v>
      </c>
      <c r="R106" s="15">
        <f>+Y106-T106</f>
        <v>14650</v>
      </c>
      <c r="S106" s="13">
        <f aca="true" t="shared" si="56" ref="S106:X106">SUM(S90:S105)</f>
        <v>328</v>
      </c>
      <c r="T106" s="13">
        <f t="shared" si="56"/>
        <v>343</v>
      </c>
      <c r="U106" s="13">
        <f t="shared" si="56"/>
        <v>0</v>
      </c>
      <c r="V106" s="13">
        <f t="shared" si="56"/>
        <v>0</v>
      </c>
      <c r="W106" s="13">
        <f t="shared" si="56"/>
        <v>0</v>
      </c>
      <c r="X106" s="13">
        <f t="shared" si="56"/>
        <v>0</v>
      </c>
      <c r="Y106" s="16">
        <v>14993</v>
      </c>
      <c r="Z106" s="13">
        <f>SUM(Z90:Z105)</f>
        <v>7</v>
      </c>
      <c r="AA106" s="13">
        <f aca="true" t="shared" si="57" ref="AA106:AK106">SUM(AA90:AA105)</f>
        <v>8</v>
      </c>
      <c r="AB106" s="13">
        <f t="shared" si="57"/>
        <v>0</v>
      </c>
      <c r="AC106" s="13">
        <f t="shared" si="57"/>
        <v>0</v>
      </c>
      <c r="AD106" s="13">
        <f t="shared" si="57"/>
        <v>0</v>
      </c>
      <c r="AE106" s="13">
        <f t="shared" si="57"/>
        <v>0</v>
      </c>
      <c r="AF106" s="13">
        <f t="shared" si="57"/>
        <v>0</v>
      </c>
      <c r="AG106" s="13">
        <f t="shared" si="57"/>
        <v>0</v>
      </c>
      <c r="AH106" s="13">
        <f t="shared" si="57"/>
        <v>0</v>
      </c>
      <c r="AI106" s="13">
        <f t="shared" si="57"/>
        <v>0</v>
      </c>
      <c r="AJ106" s="13">
        <f t="shared" si="57"/>
        <v>0</v>
      </c>
      <c r="AK106" s="13">
        <f t="shared" si="57"/>
        <v>0</v>
      </c>
      <c r="AL106" s="13">
        <f t="shared" si="37"/>
        <v>15</v>
      </c>
      <c r="AM106" s="13">
        <f aca="true" t="shared" si="58" ref="AM106:AX106">SUM(AM90:AM105)</f>
        <v>0</v>
      </c>
      <c r="AN106" s="13">
        <f t="shared" si="58"/>
        <v>0</v>
      </c>
      <c r="AO106" s="13">
        <f t="shared" si="58"/>
        <v>0</v>
      </c>
      <c r="AP106" s="13">
        <f t="shared" si="58"/>
        <v>0</v>
      </c>
      <c r="AQ106" s="13">
        <f t="shared" si="58"/>
        <v>0</v>
      </c>
      <c r="AR106" s="13">
        <f t="shared" si="58"/>
        <v>0</v>
      </c>
      <c r="AS106" s="13">
        <f t="shared" si="58"/>
        <v>0</v>
      </c>
      <c r="AT106" s="13">
        <f t="shared" si="58"/>
        <v>0</v>
      </c>
      <c r="AU106" s="13">
        <f t="shared" si="58"/>
        <v>0</v>
      </c>
      <c r="AV106" s="13">
        <f t="shared" si="58"/>
        <v>0</v>
      </c>
      <c r="AW106" s="13">
        <f t="shared" si="58"/>
        <v>0</v>
      </c>
      <c r="AX106" s="13">
        <f t="shared" si="58"/>
        <v>0</v>
      </c>
      <c r="AY106" s="13">
        <f t="shared" si="38"/>
        <v>0</v>
      </c>
    </row>
    <row r="107" spans="1:51" s="65" customFormat="1" ht="15" thickBot="1">
      <c r="A107" s="1" t="s">
        <v>172</v>
      </c>
      <c r="B107" s="103" t="s">
        <v>160</v>
      </c>
      <c r="C107" s="63"/>
      <c r="D107" s="103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0"/>
      <c r="P107" s="2"/>
      <c r="Q107" s="6">
        <f aca="true" t="shared" si="59" ref="Q107:Q118">SUM(E107:P107)</f>
        <v>0</v>
      </c>
      <c r="R107" s="4"/>
      <c r="S107" s="6">
        <v>2</v>
      </c>
      <c r="T107" s="9">
        <f aca="true" t="shared" si="60" ref="T107:T118">+S107+(Z107+AA107+AB107)-(AM107+AN107+AO107)</f>
        <v>2</v>
      </c>
      <c r="U107" s="6"/>
      <c r="V107" s="3">
        <f aca="true" t="shared" si="61" ref="V107:V118">+U107+(AF107+AG107)-(AS107+AT107)</f>
        <v>0</v>
      </c>
      <c r="W107" s="3">
        <f aca="true" t="shared" si="62" ref="W107:W118">+U107+(AF107+AG107+AH107+AI107)-(AS107+AT107+AU107+AV107)</f>
        <v>0</v>
      </c>
      <c r="X107" s="7"/>
      <c r="Y107" s="1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0"/>
      <c r="AK107" s="2"/>
      <c r="AL107" s="6">
        <f t="shared" si="37"/>
        <v>0</v>
      </c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0"/>
      <c r="AX107" s="100"/>
      <c r="AY107" s="6">
        <f t="shared" si="38"/>
        <v>0</v>
      </c>
    </row>
    <row r="108" spans="1:51" s="65" customFormat="1" ht="15" thickBot="1">
      <c r="A108" s="1" t="s">
        <v>172</v>
      </c>
      <c r="B108" s="103" t="s">
        <v>161</v>
      </c>
      <c r="C108" s="63"/>
      <c r="D108" s="103"/>
      <c r="E108" s="101">
        <v>0</v>
      </c>
      <c r="F108" s="101"/>
      <c r="G108" s="101"/>
      <c r="H108" s="101"/>
      <c r="I108" s="101"/>
      <c r="J108" s="101"/>
      <c r="K108" s="101"/>
      <c r="L108" s="101"/>
      <c r="M108" s="101"/>
      <c r="N108" s="101"/>
      <c r="O108" s="100"/>
      <c r="P108" s="2"/>
      <c r="Q108" s="6">
        <f t="shared" si="59"/>
        <v>0</v>
      </c>
      <c r="R108" s="4"/>
      <c r="S108" s="6">
        <v>4</v>
      </c>
      <c r="T108" s="9">
        <f t="shared" si="60"/>
        <v>4</v>
      </c>
      <c r="U108" s="6"/>
      <c r="V108" s="3">
        <f t="shared" si="61"/>
        <v>0</v>
      </c>
      <c r="W108" s="3">
        <f t="shared" si="62"/>
        <v>0</v>
      </c>
      <c r="X108" s="7"/>
      <c r="Y108" s="1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0"/>
      <c r="AK108" s="2"/>
      <c r="AL108" s="6">
        <f t="shared" si="37"/>
        <v>0</v>
      </c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0"/>
      <c r="AX108" s="100"/>
      <c r="AY108" s="6">
        <f t="shared" si="38"/>
        <v>0</v>
      </c>
    </row>
    <row r="109" spans="1:51" s="65" customFormat="1" ht="15" thickBot="1">
      <c r="A109" s="1" t="s">
        <v>172</v>
      </c>
      <c r="B109" s="103" t="s">
        <v>162</v>
      </c>
      <c r="C109" s="63"/>
      <c r="D109" s="103"/>
      <c r="E109" s="101">
        <v>1</v>
      </c>
      <c r="F109" s="101"/>
      <c r="G109" s="101"/>
      <c r="H109" s="101"/>
      <c r="I109" s="101"/>
      <c r="J109" s="101"/>
      <c r="K109" s="101"/>
      <c r="L109" s="101"/>
      <c r="M109" s="101"/>
      <c r="N109" s="101"/>
      <c r="O109" s="100"/>
      <c r="P109" s="2"/>
      <c r="Q109" s="6">
        <f t="shared" si="59"/>
        <v>1</v>
      </c>
      <c r="R109" s="4"/>
      <c r="S109" s="6">
        <v>1</v>
      </c>
      <c r="T109" s="9">
        <f t="shared" si="60"/>
        <v>1</v>
      </c>
      <c r="U109" s="6"/>
      <c r="V109" s="3">
        <f t="shared" si="61"/>
        <v>0</v>
      </c>
      <c r="W109" s="3">
        <f t="shared" si="62"/>
        <v>0</v>
      </c>
      <c r="X109" s="7"/>
      <c r="Y109" s="1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0"/>
      <c r="AK109" s="2"/>
      <c r="AL109" s="6">
        <f t="shared" si="37"/>
        <v>0</v>
      </c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0"/>
      <c r="AX109" s="100"/>
      <c r="AY109" s="6">
        <f t="shared" si="38"/>
        <v>0</v>
      </c>
    </row>
    <row r="110" spans="1:51" s="65" customFormat="1" ht="15" thickBot="1">
      <c r="A110" s="1" t="s">
        <v>172</v>
      </c>
      <c r="B110" s="103" t="s">
        <v>163</v>
      </c>
      <c r="C110" s="63"/>
      <c r="D110" s="103"/>
      <c r="E110" s="101">
        <v>0</v>
      </c>
      <c r="F110" s="101">
        <v>0</v>
      </c>
      <c r="G110" s="101"/>
      <c r="H110" s="101"/>
      <c r="I110" s="101"/>
      <c r="J110" s="101"/>
      <c r="K110" s="101"/>
      <c r="L110" s="101"/>
      <c r="M110" s="101"/>
      <c r="N110" s="101"/>
      <c r="O110" s="100"/>
      <c r="P110" s="2"/>
      <c r="Q110" s="6">
        <f t="shared" si="59"/>
        <v>0</v>
      </c>
      <c r="R110" s="4"/>
      <c r="S110" s="6">
        <v>0</v>
      </c>
      <c r="T110" s="9">
        <f t="shared" si="60"/>
        <v>0</v>
      </c>
      <c r="U110" s="6"/>
      <c r="V110" s="3">
        <f t="shared" si="61"/>
        <v>0</v>
      </c>
      <c r="W110" s="3">
        <f t="shared" si="62"/>
        <v>0</v>
      </c>
      <c r="X110" s="7"/>
      <c r="Y110" s="11"/>
      <c r="Z110" s="101">
        <v>0</v>
      </c>
      <c r="AA110" s="101">
        <v>0</v>
      </c>
      <c r="AB110" s="101"/>
      <c r="AC110" s="101"/>
      <c r="AD110" s="101"/>
      <c r="AE110" s="101"/>
      <c r="AF110" s="101"/>
      <c r="AG110" s="101"/>
      <c r="AH110" s="101"/>
      <c r="AI110" s="101"/>
      <c r="AJ110" s="100"/>
      <c r="AK110" s="2"/>
      <c r="AL110" s="6">
        <f t="shared" si="37"/>
        <v>0</v>
      </c>
      <c r="AM110" s="101">
        <v>0</v>
      </c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0"/>
      <c r="AX110" s="100"/>
      <c r="AY110" s="6">
        <f t="shared" si="38"/>
        <v>0</v>
      </c>
    </row>
    <row r="111" spans="1:51" s="65" customFormat="1" ht="15" thickBot="1">
      <c r="A111" s="1" t="s">
        <v>172</v>
      </c>
      <c r="B111" s="103" t="s">
        <v>164</v>
      </c>
      <c r="C111" s="63"/>
      <c r="D111" s="103"/>
      <c r="E111" s="101">
        <v>0</v>
      </c>
      <c r="F111" s="101"/>
      <c r="G111" s="101"/>
      <c r="H111" s="101"/>
      <c r="I111" s="101"/>
      <c r="J111" s="101"/>
      <c r="K111" s="101"/>
      <c r="L111" s="101"/>
      <c r="M111" s="101"/>
      <c r="N111" s="101"/>
      <c r="O111" s="100"/>
      <c r="P111" s="2"/>
      <c r="Q111" s="6">
        <f t="shared" si="59"/>
        <v>0</v>
      </c>
      <c r="R111" s="4"/>
      <c r="S111" s="6">
        <v>1</v>
      </c>
      <c r="T111" s="9">
        <f t="shared" si="60"/>
        <v>1</v>
      </c>
      <c r="U111" s="6"/>
      <c r="V111" s="3">
        <f t="shared" si="61"/>
        <v>0</v>
      </c>
      <c r="W111" s="3">
        <f t="shared" si="62"/>
        <v>0</v>
      </c>
      <c r="X111" s="7"/>
      <c r="Y111" s="1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0"/>
      <c r="AK111" s="2"/>
      <c r="AL111" s="6">
        <f t="shared" si="37"/>
        <v>0</v>
      </c>
      <c r="AM111" s="101">
        <v>0</v>
      </c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0"/>
      <c r="AX111" s="100"/>
      <c r="AY111" s="6">
        <f t="shared" si="38"/>
        <v>0</v>
      </c>
    </row>
    <row r="112" spans="1:51" s="65" customFormat="1" ht="15" thickBot="1">
      <c r="A112" s="1" t="s">
        <v>172</v>
      </c>
      <c r="B112" s="103" t="s">
        <v>165</v>
      </c>
      <c r="C112" s="63"/>
      <c r="D112" s="103"/>
      <c r="E112" s="101">
        <v>0</v>
      </c>
      <c r="F112" s="101"/>
      <c r="G112" s="101"/>
      <c r="H112" s="101"/>
      <c r="I112" s="101"/>
      <c r="J112" s="101"/>
      <c r="K112" s="101"/>
      <c r="L112" s="101"/>
      <c r="M112" s="101"/>
      <c r="N112" s="101"/>
      <c r="O112" s="100"/>
      <c r="P112" s="2"/>
      <c r="Q112" s="6">
        <f t="shared" si="59"/>
        <v>0</v>
      </c>
      <c r="R112" s="4"/>
      <c r="S112" s="6">
        <v>2</v>
      </c>
      <c r="T112" s="9">
        <f t="shared" si="60"/>
        <v>2</v>
      </c>
      <c r="U112" s="6"/>
      <c r="V112" s="3">
        <f t="shared" si="61"/>
        <v>0</v>
      </c>
      <c r="W112" s="3">
        <f t="shared" si="62"/>
        <v>0</v>
      </c>
      <c r="X112" s="7"/>
      <c r="Y112" s="1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0"/>
      <c r="AK112" s="2"/>
      <c r="AL112" s="6">
        <f t="shared" si="37"/>
        <v>0</v>
      </c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0"/>
      <c r="AX112" s="100"/>
      <c r="AY112" s="6">
        <f t="shared" si="38"/>
        <v>0</v>
      </c>
    </row>
    <row r="113" spans="1:51" s="65" customFormat="1" ht="15" thickBot="1">
      <c r="A113" s="1" t="s">
        <v>172</v>
      </c>
      <c r="B113" s="103" t="s">
        <v>166</v>
      </c>
      <c r="C113" s="63"/>
      <c r="D113" s="103"/>
      <c r="E113" s="101">
        <v>0</v>
      </c>
      <c r="F113" s="101"/>
      <c r="G113" s="101"/>
      <c r="H113" s="101"/>
      <c r="I113" s="101"/>
      <c r="J113" s="101"/>
      <c r="K113" s="101"/>
      <c r="L113" s="101"/>
      <c r="M113" s="101"/>
      <c r="N113" s="101"/>
      <c r="O113" s="100"/>
      <c r="P113" s="2"/>
      <c r="Q113" s="6">
        <f t="shared" si="59"/>
        <v>0</v>
      </c>
      <c r="R113" s="4"/>
      <c r="S113" s="6">
        <v>1</v>
      </c>
      <c r="T113" s="9">
        <f t="shared" si="60"/>
        <v>1</v>
      </c>
      <c r="U113" s="6"/>
      <c r="V113" s="3">
        <f t="shared" si="61"/>
        <v>0</v>
      </c>
      <c r="W113" s="3">
        <f t="shared" si="62"/>
        <v>0</v>
      </c>
      <c r="X113" s="7"/>
      <c r="Y113" s="11"/>
      <c r="Z113" s="101">
        <v>0</v>
      </c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0"/>
      <c r="AK113" s="2"/>
      <c r="AL113" s="6">
        <f t="shared" si="37"/>
        <v>0</v>
      </c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0"/>
      <c r="AX113" s="100"/>
      <c r="AY113" s="6">
        <f t="shared" si="38"/>
        <v>0</v>
      </c>
    </row>
    <row r="114" spans="1:51" s="65" customFormat="1" ht="15" thickBot="1">
      <c r="A114" s="1" t="s">
        <v>172</v>
      </c>
      <c r="B114" s="103" t="s">
        <v>167</v>
      </c>
      <c r="C114" s="63"/>
      <c r="D114" s="103"/>
      <c r="E114" s="101">
        <v>0</v>
      </c>
      <c r="F114" s="101"/>
      <c r="G114" s="101"/>
      <c r="H114" s="101"/>
      <c r="I114" s="101"/>
      <c r="J114" s="101"/>
      <c r="K114" s="101"/>
      <c r="L114" s="101"/>
      <c r="M114" s="101"/>
      <c r="N114" s="101"/>
      <c r="O114" s="100"/>
      <c r="P114" s="2"/>
      <c r="Q114" s="6">
        <f t="shared" si="59"/>
        <v>0</v>
      </c>
      <c r="R114" s="4"/>
      <c r="S114" s="6">
        <v>4</v>
      </c>
      <c r="T114" s="9">
        <f t="shared" si="60"/>
        <v>4</v>
      </c>
      <c r="U114" s="6"/>
      <c r="V114" s="3">
        <f t="shared" si="61"/>
        <v>0</v>
      </c>
      <c r="W114" s="3">
        <f t="shared" si="62"/>
        <v>0</v>
      </c>
      <c r="X114" s="7"/>
      <c r="Y114" s="11"/>
      <c r="Z114" s="101">
        <v>0</v>
      </c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0"/>
      <c r="AK114" s="2"/>
      <c r="AL114" s="6">
        <f t="shared" si="37"/>
        <v>0</v>
      </c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0"/>
      <c r="AX114" s="100"/>
      <c r="AY114" s="6">
        <f t="shared" si="38"/>
        <v>0</v>
      </c>
    </row>
    <row r="115" spans="1:51" s="65" customFormat="1" ht="15" thickBot="1">
      <c r="A115" s="1" t="s">
        <v>172</v>
      </c>
      <c r="B115" s="103" t="s">
        <v>168</v>
      </c>
      <c r="C115" s="63"/>
      <c r="D115" s="103"/>
      <c r="E115" s="101">
        <v>0</v>
      </c>
      <c r="F115" s="101"/>
      <c r="G115" s="101"/>
      <c r="H115" s="101"/>
      <c r="I115" s="101"/>
      <c r="J115" s="101"/>
      <c r="K115" s="101"/>
      <c r="L115" s="101"/>
      <c r="M115" s="101"/>
      <c r="N115" s="101"/>
      <c r="O115" s="100"/>
      <c r="P115" s="2"/>
      <c r="Q115" s="6">
        <f t="shared" si="59"/>
        <v>0</v>
      </c>
      <c r="R115" s="4"/>
      <c r="S115" s="6">
        <v>1</v>
      </c>
      <c r="T115" s="9">
        <f t="shared" si="60"/>
        <v>1</v>
      </c>
      <c r="U115" s="6"/>
      <c r="V115" s="3">
        <f t="shared" si="61"/>
        <v>0</v>
      </c>
      <c r="W115" s="3">
        <f t="shared" si="62"/>
        <v>0</v>
      </c>
      <c r="X115" s="7"/>
      <c r="Y115" s="11"/>
      <c r="Z115" s="101">
        <v>0</v>
      </c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0"/>
      <c r="AK115" s="2"/>
      <c r="AL115" s="6">
        <f t="shared" si="37"/>
        <v>0</v>
      </c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0"/>
      <c r="AX115" s="100"/>
      <c r="AY115" s="6">
        <f t="shared" si="38"/>
        <v>0</v>
      </c>
    </row>
    <row r="116" spans="1:51" s="65" customFormat="1" ht="15" thickBot="1">
      <c r="A116" s="1" t="s">
        <v>172</v>
      </c>
      <c r="B116" s="103" t="s">
        <v>169</v>
      </c>
      <c r="C116" s="63"/>
      <c r="D116" s="103"/>
      <c r="E116" s="101">
        <v>0</v>
      </c>
      <c r="F116" s="101"/>
      <c r="G116" s="101"/>
      <c r="H116" s="101"/>
      <c r="I116" s="101"/>
      <c r="J116" s="101"/>
      <c r="K116" s="101"/>
      <c r="L116" s="101"/>
      <c r="M116" s="101"/>
      <c r="N116" s="101"/>
      <c r="O116" s="100"/>
      <c r="P116" s="2"/>
      <c r="Q116" s="6">
        <f t="shared" si="59"/>
        <v>0</v>
      </c>
      <c r="R116" s="4"/>
      <c r="S116" s="6">
        <v>3</v>
      </c>
      <c r="T116" s="9">
        <f t="shared" si="60"/>
        <v>3</v>
      </c>
      <c r="U116" s="6"/>
      <c r="V116" s="3">
        <f t="shared" si="61"/>
        <v>0</v>
      </c>
      <c r="W116" s="3">
        <f t="shared" si="62"/>
        <v>0</v>
      </c>
      <c r="X116" s="7"/>
      <c r="Y116" s="1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0"/>
      <c r="AK116" s="2"/>
      <c r="AL116" s="6">
        <f t="shared" si="37"/>
        <v>0</v>
      </c>
      <c r="AM116" s="101">
        <v>0</v>
      </c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0"/>
      <c r="AX116" s="100"/>
      <c r="AY116" s="6">
        <f t="shared" si="38"/>
        <v>0</v>
      </c>
    </row>
    <row r="117" spans="1:51" s="65" customFormat="1" ht="15" thickBot="1">
      <c r="A117" s="1" t="s">
        <v>172</v>
      </c>
      <c r="B117" s="103" t="s">
        <v>170</v>
      </c>
      <c r="C117" s="63"/>
      <c r="D117" s="103"/>
      <c r="E117" s="101">
        <v>0</v>
      </c>
      <c r="F117" s="101"/>
      <c r="G117" s="101"/>
      <c r="H117" s="101"/>
      <c r="I117" s="101"/>
      <c r="J117" s="101"/>
      <c r="K117" s="101"/>
      <c r="L117" s="101"/>
      <c r="M117" s="101"/>
      <c r="N117" s="101"/>
      <c r="O117" s="100"/>
      <c r="P117" s="2"/>
      <c r="Q117" s="6">
        <f t="shared" si="59"/>
        <v>0</v>
      </c>
      <c r="R117" s="4"/>
      <c r="S117" s="6">
        <v>0</v>
      </c>
      <c r="T117" s="9">
        <f t="shared" si="60"/>
        <v>0</v>
      </c>
      <c r="U117" s="6"/>
      <c r="V117" s="3">
        <f t="shared" si="61"/>
        <v>0</v>
      </c>
      <c r="W117" s="3">
        <f t="shared" si="62"/>
        <v>0</v>
      </c>
      <c r="X117" s="7"/>
      <c r="Y117" s="1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0"/>
      <c r="AK117" s="2"/>
      <c r="AL117" s="6">
        <f t="shared" si="37"/>
        <v>0</v>
      </c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0"/>
      <c r="AX117" s="100"/>
      <c r="AY117" s="6">
        <f t="shared" si="38"/>
        <v>0</v>
      </c>
    </row>
    <row r="118" spans="1:51" s="65" customFormat="1" ht="15" thickBot="1">
      <c r="A118" s="1" t="s">
        <v>172</v>
      </c>
      <c r="B118" s="103" t="s">
        <v>171</v>
      </c>
      <c r="C118" s="63"/>
      <c r="D118" s="103"/>
      <c r="E118" s="101">
        <v>0</v>
      </c>
      <c r="F118" s="101"/>
      <c r="G118" s="101"/>
      <c r="H118" s="101"/>
      <c r="I118" s="101"/>
      <c r="J118" s="101"/>
      <c r="K118" s="101"/>
      <c r="L118" s="101"/>
      <c r="M118" s="101"/>
      <c r="N118" s="101"/>
      <c r="O118" s="100"/>
      <c r="P118" s="2"/>
      <c r="Q118" s="6">
        <f t="shared" si="59"/>
        <v>0</v>
      </c>
      <c r="R118" s="4"/>
      <c r="S118" s="6">
        <v>4</v>
      </c>
      <c r="T118" s="9">
        <f t="shared" si="60"/>
        <v>4</v>
      </c>
      <c r="U118" s="6"/>
      <c r="V118" s="3">
        <f t="shared" si="61"/>
        <v>0</v>
      </c>
      <c r="W118" s="3">
        <f t="shared" si="62"/>
        <v>0</v>
      </c>
      <c r="X118" s="7"/>
      <c r="Y118" s="1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0"/>
      <c r="AK118" s="2"/>
      <c r="AL118" s="6">
        <f t="shared" si="37"/>
        <v>0</v>
      </c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0"/>
      <c r="AX118" s="100"/>
      <c r="AY118" s="6">
        <f t="shared" si="38"/>
        <v>0</v>
      </c>
    </row>
    <row r="119" spans="1:51" s="65" customFormat="1" ht="15" thickBot="1">
      <c r="A119" s="196" t="s">
        <v>226</v>
      </c>
      <c r="B119" s="197"/>
      <c r="C119" s="45">
        <f>+D119/Metas!G27</f>
        <v>0.04230118443316412</v>
      </c>
      <c r="D119" s="19">
        <f>+Q119/R119</f>
        <v>0.0008460236886632825</v>
      </c>
      <c r="E119" s="14">
        <f aca="true" t="shared" si="63" ref="E119:P119">SUM(E107:E118)</f>
        <v>1</v>
      </c>
      <c r="F119" s="14">
        <f t="shared" si="63"/>
        <v>0</v>
      </c>
      <c r="G119" s="14">
        <f t="shared" si="63"/>
        <v>0</v>
      </c>
      <c r="H119" s="14">
        <f t="shared" si="63"/>
        <v>0</v>
      </c>
      <c r="I119" s="14">
        <f t="shared" si="63"/>
        <v>0</v>
      </c>
      <c r="J119" s="14">
        <f t="shared" si="63"/>
        <v>0</v>
      </c>
      <c r="K119" s="14">
        <f t="shared" si="63"/>
        <v>0</v>
      </c>
      <c r="L119" s="14">
        <f t="shared" si="63"/>
        <v>0</v>
      </c>
      <c r="M119" s="14">
        <f t="shared" si="63"/>
        <v>0</v>
      </c>
      <c r="N119" s="14">
        <f t="shared" si="63"/>
        <v>0</v>
      </c>
      <c r="O119" s="14">
        <f t="shared" si="63"/>
        <v>0</v>
      </c>
      <c r="P119" s="14">
        <f t="shared" si="63"/>
        <v>0</v>
      </c>
      <c r="Q119" s="14">
        <f>SUM(Q107:Q118)</f>
        <v>1</v>
      </c>
      <c r="R119" s="15">
        <f>+Y119-T119</f>
        <v>1182</v>
      </c>
      <c r="S119" s="13">
        <f aca="true" t="shared" si="64" ref="S119:X119">SUM(S107:S118)</f>
        <v>23</v>
      </c>
      <c r="T119" s="13">
        <f t="shared" si="64"/>
        <v>23</v>
      </c>
      <c r="U119" s="13">
        <f t="shared" si="64"/>
        <v>0</v>
      </c>
      <c r="V119" s="13">
        <f t="shared" si="64"/>
        <v>0</v>
      </c>
      <c r="W119" s="13">
        <f t="shared" si="64"/>
        <v>0</v>
      </c>
      <c r="X119" s="13">
        <f t="shared" si="64"/>
        <v>0</v>
      </c>
      <c r="Y119" s="16">
        <v>1205</v>
      </c>
      <c r="Z119" s="13">
        <f>SUM(Z107:Z118)</f>
        <v>0</v>
      </c>
      <c r="AA119" s="13">
        <f aca="true" t="shared" si="65" ref="AA119:AK119">SUM(AA107:AA118)</f>
        <v>0</v>
      </c>
      <c r="AB119" s="13">
        <f t="shared" si="65"/>
        <v>0</v>
      </c>
      <c r="AC119" s="13">
        <f t="shared" si="65"/>
        <v>0</v>
      </c>
      <c r="AD119" s="13">
        <f t="shared" si="65"/>
        <v>0</v>
      </c>
      <c r="AE119" s="13">
        <f t="shared" si="65"/>
        <v>0</v>
      </c>
      <c r="AF119" s="13">
        <f t="shared" si="65"/>
        <v>0</v>
      </c>
      <c r="AG119" s="13">
        <f t="shared" si="65"/>
        <v>0</v>
      </c>
      <c r="AH119" s="13">
        <f t="shared" si="65"/>
        <v>0</v>
      </c>
      <c r="AI119" s="13">
        <f t="shared" si="65"/>
        <v>0</v>
      </c>
      <c r="AJ119" s="13">
        <f t="shared" si="65"/>
        <v>0</v>
      </c>
      <c r="AK119" s="13">
        <f t="shared" si="65"/>
        <v>0</v>
      </c>
      <c r="AL119" s="13">
        <f t="shared" si="37"/>
        <v>0</v>
      </c>
      <c r="AM119" s="13">
        <f aca="true" t="shared" si="66" ref="AM119:AX119">SUM(AM107:AM118)</f>
        <v>0</v>
      </c>
      <c r="AN119" s="13">
        <f t="shared" si="66"/>
        <v>0</v>
      </c>
      <c r="AO119" s="13">
        <f t="shared" si="66"/>
        <v>0</v>
      </c>
      <c r="AP119" s="13">
        <f t="shared" si="66"/>
        <v>0</v>
      </c>
      <c r="AQ119" s="13">
        <f t="shared" si="66"/>
        <v>0</v>
      </c>
      <c r="AR119" s="13">
        <f t="shared" si="66"/>
        <v>0</v>
      </c>
      <c r="AS119" s="13">
        <f t="shared" si="66"/>
        <v>0</v>
      </c>
      <c r="AT119" s="13">
        <f t="shared" si="66"/>
        <v>0</v>
      </c>
      <c r="AU119" s="13">
        <f t="shared" si="66"/>
        <v>0</v>
      </c>
      <c r="AV119" s="13">
        <f t="shared" si="66"/>
        <v>0</v>
      </c>
      <c r="AW119" s="13">
        <f t="shared" si="66"/>
        <v>0</v>
      </c>
      <c r="AX119" s="13">
        <f t="shared" si="66"/>
        <v>0</v>
      </c>
      <c r="AY119" s="13">
        <f t="shared" si="38"/>
        <v>0</v>
      </c>
    </row>
    <row r="120" spans="1:51" s="65" customFormat="1" ht="15" thickBot="1">
      <c r="A120" s="1" t="s">
        <v>186</v>
      </c>
      <c r="B120" s="103" t="s">
        <v>173</v>
      </c>
      <c r="C120" s="63"/>
      <c r="D120" s="103"/>
      <c r="E120" s="101">
        <v>0</v>
      </c>
      <c r="F120" s="101">
        <v>15</v>
      </c>
      <c r="G120" s="101"/>
      <c r="H120" s="101"/>
      <c r="I120" s="101"/>
      <c r="J120" s="101"/>
      <c r="K120" s="101"/>
      <c r="L120" s="101"/>
      <c r="M120" s="101"/>
      <c r="N120" s="101"/>
      <c r="O120" s="100"/>
      <c r="P120" s="2"/>
      <c r="Q120" s="6">
        <f aca="true" t="shared" si="67" ref="Q120:Q132">SUM(E120:P120)</f>
        <v>15</v>
      </c>
      <c r="R120" s="4"/>
      <c r="S120" s="6">
        <v>29</v>
      </c>
      <c r="T120" s="9">
        <f aca="true" t="shared" si="68" ref="T120:T132">+S120+(Z120+AA120+AB120)-(AM120+AN120+AO120)</f>
        <v>34</v>
      </c>
      <c r="U120" s="6"/>
      <c r="V120" s="3">
        <f aca="true" t="shared" si="69" ref="V120:V132">+U120+(AF120+AG120)-(AS120+AT120)</f>
        <v>0</v>
      </c>
      <c r="W120" s="3">
        <f aca="true" t="shared" si="70" ref="W120:W132">+U120+(AF120+AG120+AH120+AI120)-(AS120+AT120+AU120+AV120)</f>
        <v>0</v>
      </c>
      <c r="X120" s="7"/>
      <c r="Y120" s="11"/>
      <c r="Z120" s="101">
        <v>4</v>
      </c>
      <c r="AA120" s="101">
        <v>1</v>
      </c>
      <c r="AB120" s="101"/>
      <c r="AC120" s="101"/>
      <c r="AD120" s="101"/>
      <c r="AE120" s="101"/>
      <c r="AF120" s="101"/>
      <c r="AG120" s="101"/>
      <c r="AH120" s="101"/>
      <c r="AI120" s="101"/>
      <c r="AJ120" s="100"/>
      <c r="AK120" s="100"/>
      <c r="AL120" s="6">
        <f t="shared" si="37"/>
        <v>5</v>
      </c>
      <c r="AM120" s="101">
        <v>0</v>
      </c>
      <c r="AN120" s="101">
        <v>0</v>
      </c>
      <c r="AO120" s="101"/>
      <c r="AP120" s="101"/>
      <c r="AQ120" s="101"/>
      <c r="AR120" s="101"/>
      <c r="AS120" s="101"/>
      <c r="AT120" s="100"/>
      <c r="AU120" s="100"/>
      <c r="AV120" s="100"/>
      <c r="AW120" s="100"/>
      <c r="AX120" s="100"/>
      <c r="AY120" s="6">
        <f t="shared" si="38"/>
        <v>0</v>
      </c>
    </row>
    <row r="121" spans="1:51" s="65" customFormat="1" ht="15" thickBot="1">
      <c r="A121" s="1" t="s">
        <v>186</v>
      </c>
      <c r="B121" s="103" t="s">
        <v>174</v>
      </c>
      <c r="C121" s="63"/>
      <c r="D121" s="103"/>
      <c r="E121" s="101">
        <v>2</v>
      </c>
      <c r="F121" s="101">
        <v>0</v>
      </c>
      <c r="G121" s="101"/>
      <c r="H121" s="101"/>
      <c r="I121" s="101"/>
      <c r="J121" s="101"/>
      <c r="K121" s="101"/>
      <c r="L121" s="101"/>
      <c r="M121" s="101"/>
      <c r="N121" s="101"/>
      <c r="O121" s="100"/>
      <c r="P121" s="2"/>
      <c r="Q121" s="6">
        <f t="shared" si="67"/>
        <v>2</v>
      </c>
      <c r="R121" s="4"/>
      <c r="S121" s="6">
        <v>24</v>
      </c>
      <c r="T121" s="9">
        <f t="shared" si="68"/>
        <v>25</v>
      </c>
      <c r="U121" s="6"/>
      <c r="V121" s="3">
        <f t="shared" si="69"/>
        <v>0</v>
      </c>
      <c r="W121" s="3">
        <f t="shared" si="70"/>
        <v>0</v>
      </c>
      <c r="X121" s="7"/>
      <c r="Y121" s="11"/>
      <c r="Z121" s="101">
        <v>1</v>
      </c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0"/>
      <c r="AK121" s="100"/>
      <c r="AL121" s="6">
        <f t="shared" si="37"/>
        <v>1</v>
      </c>
      <c r="AM121" s="101"/>
      <c r="AN121" s="101"/>
      <c r="AO121" s="101"/>
      <c r="AP121" s="101"/>
      <c r="AQ121" s="101"/>
      <c r="AR121" s="101"/>
      <c r="AS121" s="101"/>
      <c r="AT121" s="100"/>
      <c r="AU121" s="100"/>
      <c r="AV121" s="100"/>
      <c r="AW121" s="100"/>
      <c r="AX121" s="100"/>
      <c r="AY121" s="6">
        <f t="shared" si="38"/>
        <v>0</v>
      </c>
    </row>
    <row r="122" spans="1:51" s="65" customFormat="1" ht="15" thickBot="1">
      <c r="A122" s="1" t="s">
        <v>186</v>
      </c>
      <c r="B122" s="103" t="s">
        <v>175</v>
      </c>
      <c r="C122" s="63"/>
      <c r="D122" s="103"/>
      <c r="E122" s="101">
        <v>0</v>
      </c>
      <c r="F122" s="101">
        <v>0</v>
      </c>
      <c r="G122" s="101"/>
      <c r="H122" s="101"/>
      <c r="I122" s="101"/>
      <c r="J122" s="101"/>
      <c r="K122" s="101"/>
      <c r="L122" s="101"/>
      <c r="M122" s="101"/>
      <c r="N122" s="101"/>
      <c r="O122" s="100"/>
      <c r="P122" s="2"/>
      <c r="Q122" s="6">
        <f t="shared" si="67"/>
        <v>0</v>
      </c>
      <c r="R122" s="4"/>
      <c r="S122" s="6">
        <v>12</v>
      </c>
      <c r="T122" s="9">
        <f t="shared" si="68"/>
        <v>12</v>
      </c>
      <c r="U122" s="6"/>
      <c r="V122" s="3">
        <f t="shared" si="69"/>
        <v>0</v>
      </c>
      <c r="W122" s="3">
        <f t="shared" si="70"/>
        <v>0</v>
      </c>
      <c r="X122" s="7"/>
      <c r="Y122" s="11"/>
      <c r="Z122" s="101">
        <v>0</v>
      </c>
      <c r="AA122" s="101">
        <v>0</v>
      </c>
      <c r="AB122" s="101"/>
      <c r="AC122" s="101"/>
      <c r="AD122" s="101"/>
      <c r="AE122" s="101"/>
      <c r="AF122" s="101"/>
      <c r="AG122" s="101"/>
      <c r="AH122" s="101"/>
      <c r="AI122" s="101"/>
      <c r="AJ122" s="100"/>
      <c r="AK122" s="100"/>
      <c r="AL122" s="6">
        <f t="shared" si="37"/>
        <v>0</v>
      </c>
      <c r="AM122" s="101">
        <v>0</v>
      </c>
      <c r="AN122" s="101">
        <v>0</v>
      </c>
      <c r="AO122" s="101"/>
      <c r="AP122" s="101"/>
      <c r="AQ122" s="101"/>
      <c r="AR122" s="101"/>
      <c r="AS122" s="101"/>
      <c r="AT122" s="100"/>
      <c r="AU122" s="100"/>
      <c r="AV122" s="100"/>
      <c r="AW122" s="100"/>
      <c r="AX122" s="100"/>
      <c r="AY122" s="6">
        <f t="shared" si="38"/>
        <v>0</v>
      </c>
    </row>
    <row r="123" spans="1:51" s="65" customFormat="1" ht="15" thickBot="1">
      <c r="A123" s="1" t="s">
        <v>186</v>
      </c>
      <c r="B123" s="103" t="s">
        <v>176</v>
      </c>
      <c r="C123" s="63"/>
      <c r="D123" s="103"/>
      <c r="E123" s="101">
        <v>8</v>
      </c>
      <c r="F123" s="101">
        <v>12</v>
      </c>
      <c r="G123" s="101"/>
      <c r="H123" s="101"/>
      <c r="I123" s="101"/>
      <c r="J123" s="101"/>
      <c r="K123" s="101"/>
      <c r="L123" s="101"/>
      <c r="M123" s="101"/>
      <c r="N123" s="101"/>
      <c r="O123" s="100"/>
      <c r="P123" s="2"/>
      <c r="Q123" s="6">
        <f t="shared" si="67"/>
        <v>20</v>
      </c>
      <c r="R123" s="4"/>
      <c r="S123" s="6">
        <v>28</v>
      </c>
      <c r="T123" s="9">
        <f t="shared" si="68"/>
        <v>28</v>
      </c>
      <c r="U123" s="6"/>
      <c r="V123" s="3">
        <f t="shared" si="69"/>
        <v>0</v>
      </c>
      <c r="W123" s="3">
        <f t="shared" si="70"/>
        <v>0</v>
      </c>
      <c r="X123" s="7"/>
      <c r="Y123" s="11"/>
      <c r="Z123" s="101">
        <v>0</v>
      </c>
      <c r="AA123" s="101">
        <v>0</v>
      </c>
      <c r="AB123" s="101"/>
      <c r="AC123" s="101"/>
      <c r="AD123" s="101"/>
      <c r="AE123" s="101"/>
      <c r="AF123" s="101"/>
      <c r="AG123" s="101"/>
      <c r="AH123" s="101"/>
      <c r="AI123" s="101"/>
      <c r="AJ123" s="100"/>
      <c r="AK123" s="100"/>
      <c r="AL123" s="6">
        <f t="shared" si="37"/>
        <v>0</v>
      </c>
      <c r="AM123" s="101">
        <v>0</v>
      </c>
      <c r="AN123" s="101">
        <v>0</v>
      </c>
      <c r="AO123" s="101"/>
      <c r="AP123" s="101"/>
      <c r="AQ123" s="101"/>
      <c r="AR123" s="101"/>
      <c r="AS123" s="101"/>
      <c r="AT123" s="100"/>
      <c r="AU123" s="100"/>
      <c r="AV123" s="100"/>
      <c r="AW123" s="100"/>
      <c r="AX123" s="100"/>
      <c r="AY123" s="6">
        <f t="shared" si="38"/>
        <v>0</v>
      </c>
    </row>
    <row r="124" spans="1:51" s="65" customFormat="1" ht="15" thickBot="1">
      <c r="A124" s="1" t="s">
        <v>186</v>
      </c>
      <c r="B124" s="103" t="s">
        <v>177</v>
      </c>
      <c r="C124" s="63"/>
      <c r="D124" s="103"/>
      <c r="E124" s="101">
        <v>3</v>
      </c>
      <c r="F124" s="101">
        <v>2</v>
      </c>
      <c r="G124" s="101"/>
      <c r="H124" s="101"/>
      <c r="I124" s="101"/>
      <c r="J124" s="101"/>
      <c r="K124" s="101"/>
      <c r="L124" s="101"/>
      <c r="M124" s="101"/>
      <c r="N124" s="101"/>
      <c r="O124" s="100"/>
      <c r="P124" s="2"/>
      <c r="Q124" s="6">
        <f t="shared" si="67"/>
        <v>5</v>
      </c>
      <c r="R124" s="4"/>
      <c r="S124" s="6">
        <v>3</v>
      </c>
      <c r="T124" s="9">
        <f t="shared" si="68"/>
        <v>3</v>
      </c>
      <c r="U124" s="6"/>
      <c r="V124" s="3">
        <f t="shared" si="69"/>
        <v>0</v>
      </c>
      <c r="W124" s="3">
        <f t="shared" si="70"/>
        <v>0</v>
      </c>
      <c r="X124" s="7"/>
      <c r="Y124" s="1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0"/>
      <c r="AK124" s="100"/>
      <c r="AL124" s="6">
        <f t="shared" si="37"/>
        <v>0</v>
      </c>
      <c r="AM124" s="101"/>
      <c r="AN124" s="101"/>
      <c r="AO124" s="101"/>
      <c r="AP124" s="101"/>
      <c r="AQ124" s="101"/>
      <c r="AR124" s="101"/>
      <c r="AS124" s="101"/>
      <c r="AT124" s="100"/>
      <c r="AU124" s="100"/>
      <c r="AV124" s="100"/>
      <c r="AW124" s="100"/>
      <c r="AX124" s="100"/>
      <c r="AY124" s="6">
        <f t="shared" si="38"/>
        <v>0</v>
      </c>
    </row>
    <row r="125" spans="1:51" s="65" customFormat="1" ht="15" thickBot="1">
      <c r="A125" s="1" t="s">
        <v>186</v>
      </c>
      <c r="B125" s="103" t="s">
        <v>178</v>
      </c>
      <c r="C125" s="63"/>
      <c r="D125" s="103"/>
      <c r="E125" s="101">
        <v>0</v>
      </c>
      <c r="F125" s="101">
        <v>3</v>
      </c>
      <c r="G125" s="101"/>
      <c r="H125" s="101"/>
      <c r="I125" s="101"/>
      <c r="J125" s="101"/>
      <c r="K125" s="101"/>
      <c r="L125" s="101"/>
      <c r="M125" s="101"/>
      <c r="N125" s="101"/>
      <c r="O125" s="100"/>
      <c r="P125" s="2"/>
      <c r="Q125" s="6">
        <f t="shared" si="67"/>
        <v>3</v>
      </c>
      <c r="R125" s="4"/>
      <c r="S125" s="6">
        <v>2</v>
      </c>
      <c r="T125" s="9">
        <f t="shared" si="68"/>
        <v>2</v>
      </c>
      <c r="U125" s="6"/>
      <c r="V125" s="3">
        <f t="shared" si="69"/>
        <v>0</v>
      </c>
      <c r="W125" s="3">
        <f t="shared" si="70"/>
        <v>0</v>
      </c>
      <c r="X125" s="7"/>
      <c r="Y125" s="1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0"/>
      <c r="AK125" s="100"/>
      <c r="AL125" s="6">
        <f t="shared" si="37"/>
        <v>0</v>
      </c>
      <c r="AM125" s="101"/>
      <c r="AN125" s="101"/>
      <c r="AO125" s="101"/>
      <c r="AP125" s="101"/>
      <c r="AQ125" s="101"/>
      <c r="AR125" s="101"/>
      <c r="AS125" s="101"/>
      <c r="AT125" s="100"/>
      <c r="AU125" s="100"/>
      <c r="AV125" s="100"/>
      <c r="AW125" s="100"/>
      <c r="AX125" s="100"/>
      <c r="AY125" s="6">
        <f t="shared" si="38"/>
        <v>0</v>
      </c>
    </row>
    <row r="126" spans="1:51" s="65" customFormat="1" ht="15" thickBot="1">
      <c r="A126" s="1" t="s">
        <v>186</v>
      </c>
      <c r="B126" s="103" t="s">
        <v>179</v>
      </c>
      <c r="C126" s="63"/>
      <c r="D126" s="103"/>
      <c r="E126" s="101"/>
      <c r="F126" s="101">
        <v>0</v>
      </c>
      <c r="G126" s="101"/>
      <c r="H126" s="101"/>
      <c r="I126" s="101"/>
      <c r="J126" s="101"/>
      <c r="K126" s="101"/>
      <c r="L126" s="101"/>
      <c r="M126" s="101"/>
      <c r="N126" s="101"/>
      <c r="O126" s="100"/>
      <c r="P126" s="2"/>
      <c r="Q126" s="6">
        <f t="shared" si="67"/>
        <v>0</v>
      </c>
      <c r="R126" s="4"/>
      <c r="S126" s="6">
        <v>1</v>
      </c>
      <c r="T126" s="9">
        <f t="shared" si="68"/>
        <v>1</v>
      </c>
      <c r="U126" s="6"/>
      <c r="V126" s="3">
        <f t="shared" si="69"/>
        <v>0</v>
      </c>
      <c r="W126" s="3">
        <f t="shared" si="70"/>
        <v>0</v>
      </c>
      <c r="X126" s="7"/>
      <c r="Y126" s="1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0"/>
      <c r="AK126" s="100"/>
      <c r="AL126" s="6">
        <f t="shared" si="37"/>
        <v>0</v>
      </c>
      <c r="AM126" s="101"/>
      <c r="AN126" s="101"/>
      <c r="AO126" s="101"/>
      <c r="AP126" s="101"/>
      <c r="AQ126" s="101"/>
      <c r="AR126" s="101"/>
      <c r="AS126" s="101"/>
      <c r="AT126" s="100"/>
      <c r="AU126" s="100"/>
      <c r="AV126" s="100"/>
      <c r="AW126" s="100"/>
      <c r="AX126" s="100"/>
      <c r="AY126" s="6">
        <f t="shared" si="38"/>
        <v>0</v>
      </c>
    </row>
    <row r="127" spans="1:51" s="65" customFormat="1" ht="15" thickBot="1">
      <c r="A127" s="1" t="s">
        <v>186</v>
      </c>
      <c r="B127" s="103" t="s">
        <v>180</v>
      </c>
      <c r="C127" s="63"/>
      <c r="D127" s="103"/>
      <c r="E127" s="101">
        <v>1</v>
      </c>
      <c r="F127" s="101">
        <v>0</v>
      </c>
      <c r="G127" s="101"/>
      <c r="H127" s="101"/>
      <c r="I127" s="101"/>
      <c r="J127" s="101"/>
      <c r="K127" s="101"/>
      <c r="L127" s="101"/>
      <c r="M127" s="101"/>
      <c r="N127" s="101"/>
      <c r="O127" s="100"/>
      <c r="P127" s="2"/>
      <c r="Q127" s="6">
        <f t="shared" si="67"/>
        <v>1</v>
      </c>
      <c r="R127" s="4"/>
      <c r="S127" s="6">
        <v>3</v>
      </c>
      <c r="T127" s="9">
        <f t="shared" si="68"/>
        <v>3</v>
      </c>
      <c r="U127" s="6"/>
      <c r="V127" s="3">
        <f t="shared" si="69"/>
        <v>0</v>
      </c>
      <c r="W127" s="3">
        <f t="shared" si="70"/>
        <v>0</v>
      </c>
      <c r="X127" s="7"/>
      <c r="Y127" s="11"/>
      <c r="Z127" s="101"/>
      <c r="AA127" s="101">
        <v>0</v>
      </c>
      <c r="AB127" s="101"/>
      <c r="AC127" s="101"/>
      <c r="AD127" s="101"/>
      <c r="AE127" s="101"/>
      <c r="AF127" s="101"/>
      <c r="AG127" s="101"/>
      <c r="AH127" s="101"/>
      <c r="AI127" s="101"/>
      <c r="AJ127" s="100"/>
      <c r="AK127" s="100"/>
      <c r="AL127" s="6">
        <f t="shared" si="37"/>
        <v>0</v>
      </c>
      <c r="AM127" s="101">
        <v>0</v>
      </c>
      <c r="AN127" s="101"/>
      <c r="AO127" s="101"/>
      <c r="AP127" s="101"/>
      <c r="AQ127" s="101"/>
      <c r="AR127" s="101"/>
      <c r="AS127" s="101"/>
      <c r="AT127" s="100"/>
      <c r="AU127" s="100"/>
      <c r="AV127" s="100"/>
      <c r="AW127" s="100"/>
      <c r="AX127" s="100"/>
      <c r="AY127" s="6">
        <f t="shared" si="38"/>
        <v>0</v>
      </c>
    </row>
    <row r="128" spans="1:51" s="65" customFormat="1" ht="15" thickBot="1">
      <c r="A128" s="1" t="s">
        <v>186</v>
      </c>
      <c r="B128" s="103" t="s">
        <v>181</v>
      </c>
      <c r="C128" s="63"/>
      <c r="D128" s="103"/>
      <c r="E128" s="101">
        <v>0</v>
      </c>
      <c r="F128" s="101">
        <v>1</v>
      </c>
      <c r="G128" s="101"/>
      <c r="H128" s="101"/>
      <c r="I128" s="101"/>
      <c r="J128" s="101"/>
      <c r="K128" s="101"/>
      <c r="L128" s="101"/>
      <c r="M128" s="101"/>
      <c r="N128" s="101"/>
      <c r="O128" s="100"/>
      <c r="P128" s="2"/>
      <c r="Q128" s="6">
        <f t="shared" si="67"/>
        <v>1</v>
      </c>
      <c r="R128" s="4"/>
      <c r="S128" s="6">
        <v>4</v>
      </c>
      <c r="T128" s="9">
        <f t="shared" si="68"/>
        <v>5</v>
      </c>
      <c r="U128" s="6"/>
      <c r="V128" s="3">
        <f t="shared" si="69"/>
        <v>0</v>
      </c>
      <c r="W128" s="3">
        <f t="shared" si="70"/>
        <v>0</v>
      </c>
      <c r="X128" s="7"/>
      <c r="Y128" s="11"/>
      <c r="Z128" s="101">
        <v>1</v>
      </c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0"/>
      <c r="AK128" s="100"/>
      <c r="AL128" s="6">
        <f t="shared" si="37"/>
        <v>1</v>
      </c>
      <c r="AM128" s="101">
        <v>0</v>
      </c>
      <c r="AN128" s="101">
        <v>0</v>
      </c>
      <c r="AO128" s="101"/>
      <c r="AP128" s="101"/>
      <c r="AQ128" s="101"/>
      <c r="AR128" s="101"/>
      <c r="AS128" s="101"/>
      <c r="AT128" s="100"/>
      <c r="AU128" s="100"/>
      <c r="AV128" s="100"/>
      <c r="AW128" s="100"/>
      <c r="AX128" s="100"/>
      <c r="AY128" s="6">
        <f t="shared" si="38"/>
        <v>0</v>
      </c>
    </row>
    <row r="129" spans="1:51" s="65" customFormat="1" ht="15" thickBot="1">
      <c r="A129" s="1" t="s">
        <v>186</v>
      </c>
      <c r="B129" s="103" t="s">
        <v>182</v>
      </c>
      <c r="C129" s="63"/>
      <c r="D129" s="103"/>
      <c r="E129" s="101">
        <v>1</v>
      </c>
      <c r="F129" s="101">
        <v>0</v>
      </c>
      <c r="G129" s="101"/>
      <c r="H129" s="101"/>
      <c r="I129" s="101"/>
      <c r="J129" s="101"/>
      <c r="K129" s="101"/>
      <c r="L129" s="101"/>
      <c r="M129" s="101"/>
      <c r="N129" s="101"/>
      <c r="O129" s="100"/>
      <c r="P129" s="2"/>
      <c r="Q129" s="6">
        <f t="shared" si="67"/>
        <v>1</v>
      </c>
      <c r="R129" s="4"/>
      <c r="S129" s="6">
        <v>2</v>
      </c>
      <c r="T129" s="9">
        <f t="shared" si="68"/>
        <v>2</v>
      </c>
      <c r="U129" s="6"/>
      <c r="V129" s="3">
        <f t="shared" si="69"/>
        <v>0</v>
      </c>
      <c r="W129" s="3">
        <f t="shared" si="70"/>
        <v>0</v>
      </c>
      <c r="X129" s="7"/>
      <c r="Y129" s="1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0"/>
      <c r="AK129" s="100"/>
      <c r="AL129" s="6">
        <f t="shared" si="37"/>
        <v>0</v>
      </c>
      <c r="AM129" s="101"/>
      <c r="AN129" s="101"/>
      <c r="AO129" s="101"/>
      <c r="AP129" s="101"/>
      <c r="AQ129" s="101"/>
      <c r="AR129" s="101"/>
      <c r="AS129" s="101"/>
      <c r="AT129" s="100"/>
      <c r="AU129" s="100"/>
      <c r="AV129" s="100"/>
      <c r="AW129" s="100"/>
      <c r="AX129" s="100"/>
      <c r="AY129" s="6">
        <f t="shared" si="38"/>
        <v>0</v>
      </c>
    </row>
    <row r="130" spans="1:51" s="65" customFormat="1" ht="15" thickBot="1">
      <c r="A130" s="1" t="s">
        <v>186</v>
      </c>
      <c r="B130" s="103" t="s">
        <v>183</v>
      </c>
      <c r="C130" s="63"/>
      <c r="D130" s="103"/>
      <c r="E130" s="101"/>
      <c r="F130" s="101">
        <v>0</v>
      </c>
      <c r="G130" s="101"/>
      <c r="H130" s="101"/>
      <c r="I130" s="101"/>
      <c r="J130" s="101"/>
      <c r="K130" s="101"/>
      <c r="L130" s="101"/>
      <c r="M130" s="101"/>
      <c r="N130" s="101"/>
      <c r="O130" s="106"/>
      <c r="P130" s="107"/>
      <c r="Q130" s="6">
        <f t="shared" si="67"/>
        <v>0</v>
      </c>
      <c r="S130" s="6">
        <v>3</v>
      </c>
      <c r="T130" s="9">
        <f t="shared" si="68"/>
        <v>3</v>
      </c>
      <c r="U130" s="6"/>
      <c r="V130" s="3">
        <f t="shared" si="69"/>
        <v>0</v>
      </c>
      <c r="W130" s="3">
        <f t="shared" si="70"/>
        <v>0</v>
      </c>
      <c r="X130" s="7"/>
      <c r="Y130" s="11"/>
      <c r="Z130" s="101">
        <v>0</v>
      </c>
      <c r="AA130" s="101">
        <v>0</v>
      </c>
      <c r="AB130" s="101"/>
      <c r="AC130" s="101"/>
      <c r="AD130" s="101"/>
      <c r="AE130" s="101"/>
      <c r="AF130" s="101"/>
      <c r="AG130" s="101"/>
      <c r="AH130" s="101"/>
      <c r="AI130" s="101"/>
      <c r="AJ130" s="106"/>
      <c r="AK130" s="106"/>
      <c r="AL130" s="6">
        <f t="shared" si="37"/>
        <v>0</v>
      </c>
      <c r="AM130" s="101"/>
      <c r="AN130" s="101"/>
      <c r="AO130" s="101"/>
      <c r="AP130" s="101"/>
      <c r="AQ130" s="101"/>
      <c r="AR130" s="101"/>
      <c r="AS130" s="101"/>
      <c r="AT130" s="106"/>
      <c r="AU130" s="106"/>
      <c r="AV130" s="106"/>
      <c r="AW130" s="106"/>
      <c r="AX130" s="106"/>
      <c r="AY130" s="6">
        <f t="shared" si="38"/>
        <v>0</v>
      </c>
    </row>
    <row r="131" spans="1:51" s="65" customFormat="1" ht="15" thickBot="1">
      <c r="A131" s="1" t="s">
        <v>186</v>
      </c>
      <c r="B131" s="103" t="s">
        <v>184</v>
      </c>
      <c r="C131" s="63"/>
      <c r="D131" s="103"/>
      <c r="E131" s="101">
        <v>0</v>
      </c>
      <c r="F131" s="101">
        <v>1</v>
      </c>
      <c r="G131" s="101"/>
      <c r="H131" s="101"/>
      <c r="I131" s="101"/>
      <c r="J131" s="101"/>
      <c r="K131" s="101"/>
      <c r="L131" s="101"/>
      <c r="M131" s="101"/>
      <c r="N131" s="101"/>
      <c r="O131" s="106"/>
      <c r="P131" s="107"/>
      <c r="Q131" s="6">
        <f t="shared" si="67"/>
        <v>1</v>
      </c>
      <c r="S131" s="6">
        <v>3</v>
      </c>
      <c r="T131" s="9">
        <f t="shared" si="68"/>
        <v>3</v>
      </c>
      <c r="U131" s="6"/>
      <c r="V131" s="3">
        <f t="shared" si="69"/>
        <v>0</v>
      </c>
      <c r="W131" s="3">
        <f t="shared" si="70"/>
        <v>0</v>
      </c>
      <c r="X131" s="7"/>
      <c r="Y131" s="11"/>
      <c r="Z131" s="101"/>
      <c r="AA131" s="101">
        <v>0</v>
      </c>
      <c r="AB131" s="101"/>
      <c r="AC131" s="101"/>
      <c r="AD131" s="101"/>
      <c r="AE131" s="101"/>
      <c r="AF131" s="101"/>
      <c r="AG131" s="101"/>
      <c r="AH131" s="101"/>
      <c r="AI131" s="101"/>
      <c r="AJ131" s="106"/>
      <c r="AK131" s="106"/>
      <c r="AL131" s="6">
        <f t="shared" si="37"/>
        <v>0</v>
      </c>
      <c r="AM131" s="101"/>
      <c r="AN131" s="101">
        <v>0</v>
      </c>
      <c r="AO131" s="101"/>
      <c r="AP131" s="101"/>
      <c r="AQ131" s="101"/>
      <c r="AR131" s="101"/>
      <c r="AS131" s="101"/>
      <c r="AT131" s="106"/>
      <c r="AU131" s="106"/>
      <c r="AV131" s="106"/>
      <c r="AW131" s="106"/>
      <c r="AX131" s="106"/>
      <c r="AY131" s="6">
        <f t="shared" si="38"/>
        <v>0</v>
      </c>
    </row>
    <row r="132" spans="1:51" s="65" customFormat="1" ht="15" thickBot="1">
      <c r="A132" s="1" t="s">
        <v>186</v>
      </c>
      <c r="B132" s="103" t="s">
        <v>185</v>
      </c>
      <c r="C132" s="63"/>
      <c r="D132" s="103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6"/>
      <c r="P132" s="107"/>
      <c r="Q132" s="6">
        <f t="shared" si="67"/>
        <v>0</v>
      </c>
      <c r="S132" s="6">
        <v>0</v>
      </c>
      <c r="T132" s="9">
        <f t="shared" si="68"/>
        <v>0</v>
      </c>
      <c r="U132" s="6"/>
      <c r="V132" s="3">
        <f t="shared" si="69"/>
        <v>0</v>
      </c>
      <c r="W132" s="3">
        <f t="shared" si="70"/>
        <v>0</v>
      </c>
      <c r="X132" s="7"/>
      <c r="Y132" s="1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6"/>
      <c r="AK132" s="106"/>
      <c r="AL132" s="6">
        <f t="shared" si="37"/>
        <v>0</v>
      </c>
      <c r="AM132" s="101"/>
      <c r="AN132" s="101"/>
      <c r="AO132" s="101"/>
      <c r="AP132" s="101"/>
      <c r="AQ132" s="101"/>
      <c r="AR132" s="101"/>
      <c r="AS132" s="101"/>
      <c r="AT132" s="106"/>
      <c r="AU132" s="106"/>
      <c r="AV132" s="106"/>
      <c r="AW132" s="106"/>
      <c r="AX132" s="106"/>
      <c r="AY132" s="6">
        <f t="shared" si="38"/>
        <v>0</v>
      </c>
    </row>
    <row r="133" spans="1:51" s="65" customFormat="1" ht="25.5" customHeight="1" thickBot="1">
      <c r="A133" s="196" t="s">
        <v>227</v>
      </c>
      <c r="B133" s="197"/>
      <c r="C133" s="45">
        <f>+D133/Metas!G32</f>
        <v>0.5013300593411091</v>
      </c>
      <c r="D133" s="19">
        <f>+Q133/R133</f>
        <v>0.009023941068139963</v>
      </c>
      <c r="E133" s="14">
        <f aca="true" t="shared" si="71" ref="E133:P133">SUM(E120:E132)</f>
        <v>15</v>
      </c>
      <c r="F133" s="14">
        <f t="shared" si="71"/>
        <v>34</v>
      </c>
      <c r="G133" s="14">
        <f t="shared" si="71"/>
        <v>0</v>
      </c>
      <c r="H133" s="14">
        <f t="shared" si="71"/>
        <v>0</v>
      </c>
      <c r="I133" s="14">
        <f t="shared" si="71"/>
        <v>0</v>
      </c>
      <c r="J133" s="14">
        <f t="shared" si="71"/>
        <v>0</v>
      </c>
      <c r="K133" s="14">
        <f t="shared" si="71"/>
        <v>0</v>
      </c>
      <c r="L133" s="14">
        <f t="shared" si="71"/>
        <v>0</v>
      </c>
      <c r="M133" s="14">
        <f t="shared" si="71"/>
        <v>0</v>
      </c>
      <c r="N133" s="14">
        <f t="shared" si="71"/>
        <v>0</v>
      </c>
      <c r="O133" s="14">
        <f t="shared" si="71"/>
        <v>0</v>
      </c>
      <c r="P133" s="14">
        <f t="shared" si="71"/>
        <v>0</v>
      </c>
      <c r="Q133" s="14">
        <f>SUM(Q120:Q132)</f>
        <v>49</v>
      </c>
      <c r="R133" s="15">
        <f>+Y133-T133</f>
        <v>5430</v>
      </c>
      <c r="S133" s="13">
        <f aca="true" t="shared" si="72" ref="S133:X133">SUM(S120:S132)</f>
        <v>114</v>
      </c>
      <c r="T133" s="13">
        <f t="shared" si="72"/>
        <v>121</v>
      </c>
      <c r="U133" s="13">
        <f t="shared" si="72"/>
        <v>0</v>
      </c>
      <c r="V133" s="13">
        <f t="shared" si="72"/>
        <v>0</v>
      </c>
      <c r="W133" s="13">
        <f t="shared" si="72"/>
        <v>0</v>
      </c>
      <c r="X133" s="13">
        <f t="shared" si="72"/>
        <v>0</v>
      </c>
      <c r="Y133" s="16">
        <v>5551</v>
      </c>
      <c r="Z133" s="13">
        <f>SUM(Z120:Z132)</f>
        <v>6</v>
      </c>
      <c r="AA133" s="13">
        <f aca="true" t="shared" si="73" ref="AA133:AK133">SUM(AA120:AA132)</f>
        <v>1</v>
      </c>
      <c r="AB133" s="13">
        <f t="shared" si="73"/>
        <v>0</v>
      </c>
      <c r="AC133" s="13">
        <f t="shared" si="73"/>
        <v>0</v>
      </c>
      <c r="AD133" s="13">
        <f t="shared" si="73"/>
        <v>0</v>
      </c>
      <c r="AE133" s="13">
        <f t="shared" si="73"/>
        <v>0</v>
      </c>
      <c r="AF133" s="13">
        <f t="shared" si="73"/>
        <v>0</v>
      </c>
      <c r="AG133" s="13">
        <f t="shared" si="73"/>
        <v>0</v>
      </c>
      <c r="AH133" s="13">
        <f t="shared" si="73"/>
        <v>0</v>
      </c>
      <c r="AI133" s="13">
        <f t="shared" si="73"/>
        <v>0</v>
      </c>
      <c r="AJ133" s="13">
        <f t="shared" si="73"/>
        <v>0</v>
      </c>
      <c r="AK133" s="13">
        <f t="shared" si="73"/>
        <v>0</v>
      </c>
      <c r="AL133" s="13">
        <f t="shared" si="37"/>
        <v>7</v>
      </c>
      <c r="AM133" s="13">
        <f aca="true" t="shared" si="74" ref="AM133:AX133">SUM(AM120:AM132)</f>
        <v>0</v>
      </c>
      <c r="AN133" s="13">
        <f t="shared" si="74"/>
        <v>0</v>
      </c>
      <c r="AO133" s="13">
        <f t="shared" si="74"/>
        <v>0</v>
      </c>
      <c r="AP133" s="13">
        <f t="shared" si="74"/>
        <v>0</v>
      </c>
      <c r="AQ133" s="13">
        <f t="shared" si="74"/>
        <v>0</v>
      </c>
      <c r="AR133" s="13">
        <f t="shared" si="74"/>
        <v>0</v>
      </c>
      <c r="AS133" s="13">
        <f t="shared" si="74"/>
        <v>0</v>
      </c>
      <c r="AT133" s="13">
        <f t="shared" si="74"/>
        <v>0</v>
      </c>
      <c r="AU133" s="13">
        <f t="shared" si="74"/>
        <v>0</v>
      </c>
      <c r="AV133" s="13">
        <f t="shared" si="74"/>
        <v>0</v>
      </c>
      <c r="AW133" s="13">
        <f t="shared" si="74"/>
        <v>0</v>
      </c>
      <c r="AX133" s="13">
        <f t="shared" si="74"/>
        <v>0</v>
      </c>
      <c r="AY133" s="13">
        <f t="shared" si="38"/>
        <v>0</v>
      </c>
    </row>
    <row r="134" spans="1:51" s="71" customFormat="1" ht="15" thickBot="1">
      <c r="A134" s="10" t="s">
        <v>191</v>
      </c>
      <c r="B134" s="103" t="s">
        <v>187</v>
      </c>
      <c r="C134" s="63"/>
      <c r="D134" s="103"/>
      <c r="E134" s="101">
        <v>0</v>
      </c>
      <c r="F134" s="101">
        <v>0</v>
      </c>
      <c r="G134" s="101"/>
      <c r="H134" s="101"/>
      <c r="I134" s="101"/>
      <c r="J134" s="101"/>
      <c r="K134" s="108"/>
      <c r="L134" s="108"/>
      <c r="M134" s="108"/>
      <c r="N134" s="108"/>
      <c r="O134" s="108"/>
      <c r="P134" s="110"/>
      <c r="Q134" s="6">
        <f>SUM(E134:P134)</f>
        <v>0</v>
      </c>
      <c r="R134" s="68"/>
      <c r="S134" s="6">
        <v>65</v>
      </c>
      <c r="T134" s="9">
        <f>+S134+(Z134+AA134+AB134)-(AM134+AN134+AO134)</f>
        <v>65</v>
      </c>
      <c r="U134" s="6"/>
      <c r="V134" s="3">
        <f>+U134+(AF134+AG134)-(AS134+AT134)</f>
        <v>0</v>
      </c>
      <c r="W134" s="61">
        <f>+U134+(AF134+AG134+AH134+AI134)-(AS134+AT134+AU134+AV134)</f>
        <v>0</v>
      </c>
      <c r="X134" s="7"/>
      <c r="Y134" s="11"/>
      <c r="Z134" s="101">
        <v>0</v>
      </c>
      <c r="AA134" s="101">
        <v>0</v>
      </c>
      <c r="AB134" s="101"/>
      <c r="AC134" s="101"/>
      <c r="AD134" s="101"/>
      <c r="AE134" s="101"/>
      <c r="AF134" s="101"/>
      <c r="AG134" s="113"/>
      <c r="AH134" s="113"/>
      <c r="AI134" s="113"/>
      <c r="AJ134" s="113"/>
      <c r="AK134" s="70"/>
      <c r="AL134" s="6">
        <f t="shared" si="37"/>
        <v>0</v>
      </c>
      <c r="AM134" s="101"/>
      <c r="AN134" s="101">
        <v>0</v>
      </c>
      <c r="AO134" s="101"/>
      <c r="AP134" s="101"/>
      <c r="AQ134" s="101"/>
      <c r="AR134" s="101"/>
      <c r="AS134" s="101"/>
      <c r="AT134" s="109"/>
      <c r="AU134" s="109"/>
      <c r="AV134" s="109"/>
      <c r="AW134" s="114"/>
      <c r="AX134" s="114"/>
      <c r="AY134" s="6">
        <f t="shared" si="38"/>
        <v>0</v>
      </c>
    </row>
    <row r="135" spans="1:51" ht="15" thickBot="1">
      <c r="A135" s="10" t="s">
        <v>191</v>
      </c>
      <c r="B135" s="103" t="s">
        <v>188</v>
      </c>
      <c r="C135" s="63"/>
      <c r="D135" s="103"/>
      <c r="E135" s="101">
        <v>0</v>
      </c>
      <c r="F135" s="101">
        <v>0</v>
      </c>
      <c r="G135" s="101"/>
      <c r="H135" s="101"/>
      <c r="I135" s="101"/>
      <c r="J135" s="101"/>
      <c r="K135" s="109"/>
      <c r="L135" s="109"/>
      <c r="M135" s="109"/>
      <c r="N135" s="109"/>
      <c r="O135" s="109"/>
      <c r="P135" s="110"/>
      <c r="Q135" s="6">
        <f>SUM(E135:P135)</f>
        <v>0</v>
      </c>
      <c r="R135" s="68"/>
      <c r="S135" s="7">
        <v>6</v>
      </c>
      <c r="T135" s="9">
        <f>+S135+(Z135+AA135+AB135)-(AM135+AN135+AO135)</f>
        <v>6</v>
      </c>
      <c r="U135" s="7"/>
      <c r="V135" s="3">
        <f>+U135+(AF135+AG135)-(AS135+AT135)</f>
        <v>0</v>
      </c>
      <c r="W135" s="3">
        <f>+U135+(AF135+AG135+AH135+AI135)-(AS135+AT135+AU135+AV135)</f>
        <v>0</v>
      </c>
      <c r="X135" s="7"/>
      <c r="Y135" s="11"/>
      <c r="Z135" s="101"/>
      <c r="AA135" s="101">
        <v>0</v>
      </c>
      <c r="AB135" s="101"/>
      <c r="AC135" s="101"/>
      <c r="AD135" s="101"/>
      <c r="AE135" s="101"/>
      <c r="AF135" s="101"/>
      <c r="AG135" s="109"/>
      <c r="AH135" s="109"/>
      <c r="AI135" s="109"/>
      <c r="AJ135" s="109"/>
      <c r="AL135" s="6">
        <f t="shared" si="37"/>
        <v>0</v>
      </c>
      <c r="AM135" s="101"/>
      <c r="AN135" s="101">
        <v>0</v>
      </c>
      <c r="AO135" s="101"/>
      <c r="AP135" s="115"/>
      <c r="AQ135" s="101"/>
      <c r="AR135" s="101"/>
      <c r="AS135" s="101"/>
      <c r="AT135" s="109"/>
      <c r="AU135" s="109"/>
      <c r="AV135" s="109"/>
      <c r="AW135" s="109"/>
      <c r="AX135" s="109"/>
      <c r="AY135" s="6">
        <f t="shared" si="38"/>
        <v>0</v>
      </c>
    </row>
    <row r="136" spans="1:51" ht="15" thickBot="1">
      <c r="A136" s="10" t="s">
        <v>191</v>
      </c>
      <c r="B136" s="103" t="s">
        <v>189</v>
      </c>
      <c r="C136" s="63"/>
      <c r="D136" s="103"/>
      <c r="E136" s="101"/>
      <c r="F136" s="101"/>
      <c r="G136" s="101"/>
      <c r="H136" s="101"/>
      <c r="I136" s="101"/>
      <c r="J136" s="101"/>
      <c r="K136" s="109"/>
      <c r="L136" s="109"/>
      <c r="M136" s="109"/>
      <c r="N136" s="109"/>
      <c r="O136" s="109"/>
      <c r="P136" s="110"/>
      <c r="Q136" s="6">
        <f>SUM(E136:P136)</f>
        <v>0</v>
      </c>
      <c r="R136" s="68"/>
      <c r="S136" s="7">
        <v>1</v>
      </c>
      <c r="T136" s="9">
        <f>+S136+(Z136+AA136+AB136)-(AM136+AN136+AO136)</f>
        <v>1</v>
      </c>
      <c r="U136" s="7"/>
      <c r="V136" s="3">
        <f>+U136+(AF136+AG136)-(AS136+AT136)</f>
        <v>0</v>
      </c>
      <c r="W136" s="3">
        <f>+U136+(AF136+AG136+AH136+AI136)-(AS136+AT136+AU136+AV136)</f>
        <v>0</v>
      </c>
      <c r="X136" s="7"/>
      <c r="Y136" s="11"/>
      <c r="Z136" s="101"/>
      <c r="AA136" s="101"/>
      <c r="AB136" s="101"/>
      <c r="AC136" s="101"/>
      <c r="AD136" s="101"/>
      <c r="AE136" s="101"/>
      <c r="AF136" s="101"/>
      <c r="AG136" s="109"/>
      <c r="AH136" s="109"/>
      <c r="AI136" s="109"/>
      <c r="AJ136" s="109"/>
      <c r="AL136" s="6">
        <f t="shared" si="37"/>
        <v>0</v>
      </c>
      <c r="AM136" s="101"/>
      <c r="AN136" s="101"/>
      <c r="AO136" s="101"/>
      <c r="AP136" s="101"/>
      <c r="AQ136" s="101"/>
      <c r="AR136" s="101"/>
      <c r="AS136" s="101"/>
      <c r="AT136" s="109"/>
      <c r="AU136" s="109"/>
      <c r="AV136" s="109"/>
      <c r="AW136" s="109"/>
      <c r="AX136" s="109"/>
      <c r="AY136" s="6">
        <f t="shared" si="38"/>
        <v>0</v>
      </c>
    </row>
    <row r="137" spans="1:51" ht="15" thickBot="1">
      <c r="A137" s="10" t="s">
        <v>191</v>
      </c>
      <c r="B137" s="103" t="s">
        <v>190</v>
      </c>
      <c r="C137" s="63"/>
      <c r="D137" s="103"/>
      <c r="E137" s="101"/>
      <c r="F137" s="101">
        <v>0</v>
      </c>
      <c r="G137" s="101"/>
      <c r="H137" s="101"/>
      <c r="I137" s="101"/>
      <c r="J137" s="101"/>
      <c r="K137" s="109"/>
      <c r="L137" s="109"/>
      <c r="M137" s="109"/>
      <c r="N137" s="109"/>
      <c r="O137" s="109"/>
      <c r="P137" s="110"/>
      <c r="Q137" s="6">
        <f>SUM(E137:P137)</f>
        <v>0</v>
      </c>
      <c r="R137" s="68"/>
      <c r="S137" s="7">
        <v>1</v>
      </c>
      <c r="T137" s="9">
        <f>+S137+(Z137+AA137+AB137)-(AM137+AN137+AO137)</f>
        <v>1</v>
      </c>
      <c r="U137" s="7"/>
      <c r="V137" s="3">
        <f>+U137+(AF137+AG137)-(AS137+AT137)</f>
        <v>0</v>
      </c>
      <c r="W137" s="3">
        <f>+U137+(AF137+AG137+AH137+AI137)-(AS137+AT137+AU137+AV137)</f>
        <v>0</v>
      </c>
      <c r="X137" s="7"/>
      <c r="Y137" s="11"/>
      <c r="Z137" s="115"/>
      <c r="AA137" s="101"/>
      <c r="AB137" s="101"/>
      <c r="AC137" s="101"/>
      <c r="AD137" s="101"/>
      <c r="AE137" s="101"/>
      <c r="AF137" s="101"/>
      <c r="AG137" s="109"/>
      <c r="AH137" s="109"/>
      <c r="AI137" s="109"/>
      <c r="AJ137" s="109"/>
      <c r="AL137" s="6">
        <f t="shared" si="37"/>
        <v>0</v>
      </c>
      <c r="AM137" s="101"/>
      <c r="AN137" s="101"/>
      <c r="AO137" s="101"/>
      <c r="AP137" s="101"/>
      <c r="AQ137" s="101"/>
      <c r="AR137" s="101"/>
      <c r="AS137" s="101"/>
      <c r="AT137" s="109"/>
      <c r="AU137" s="109"/>
      <c r="AV137" s="109"/>
      <c r="AW137" s="109"/>
      <c r="AX137" s="109"/>
      <c r="AY137" s="6">
        <f t="shared" si="38"/>
        <v>0</v>
      </c>
    </row>
    <row r="138" spans="1:51" s="65" customFormat="1" ht="15" thickBot="1">
      <c r="A138" s="196" t="s">
        <v>228</v>
      </c>
      <c r="B138" s="197"/>
      <c r="C138" s="45">
        <f>+D138/Metas!G34</f>
        <v>0</v>
      </c>
      <c r="D138" s="19">
        <f>+Q138/R138</f>
        <v>0</v>
      </c>
      <c r="E138" s="14">
        <f aca="true" t="shared" si="75" ref="E138:P138">SUM(E134:E137)</f>
        <v>0</v>
      </c>
      <c r="F138" s="14">
        <f t="shared" si="75"/>
        <v>0</v>
      </c>
      <c r="G138" s="14">
        <f t="shared" si="75"/>
        <v>0</v>
      </c>
      <c r="H138" s="14">
        <f t="shared" si="75"/>
        <v>0</v>
      </c>
      <c r="I138" s="14">
        <f t="shared" si="75"/>
        <v>0</v>
      </c>
      <c r="J138" s="14">
        <f t="shared" si="75"/>
        <v>0</v>
      </c>
      <c r="K138" s="14">
        <f t="shared" si="75"/>
        <v>0</v>
      </c>
      <c r="L138" s="14">
        <f t="shared" si="75"/>
        <v>0</v>
      </c>
      <c r="M138" s="14">
        <f t="shared" si="75"/>
        <v>0</v>
      </c>
      <c r="N138" s="14">
        <f t="shared" si="75"/>
        <v>0</v>
      </c>
      <c r="O138" s="14">
        <f t="shared" si="75"/>
        <v>0</v>
      </c>
      <c r="P138" s="14">
        <f t="shared" si="75"/>
        <v>0</v>
      </c>
      <c r="Q138" s="14">
        <f>SUM(Q134:Q137)</f>
        <v>0</v>
      </c>
      <c r="R138" s="15">
        <f>+Y138-T138</f>
        <v>1746</v>
      </c>
      <c r="S138" s="13">
        <f aca="true" t="shared" si="76" ref="S138:X138">SUM(S134:S137)</f>
        <v>73</v>
      </c>
      <c r="T138" s="13">
        <f t="shared" si="76"/>
        <v>73</v>
      </c>
      <c r="U138" s="13">
        <f t="shared" si="76"/>
        <v>0</v>
      </c>
      <c r="V138" s="13">
        <f t="shared" si="76"/>
        <v>0</v>
      </c>
      <c r="W138" s="46">
        <f t="shared" si="76"/>
        <v>0</v>
      </c>
      <c r="X138" s="46">
        <f t="shared" si="76"/>
        <v>0</v>
      </c>
      <c r="Y138" s="16">
        <v>1819</v>
      </c>
      <c r="Z138" s="46">
        <v>0</v>
      </c>
      <c r="AA138" s="46">
        <v>0</v>
      </c>
      <c r="AB138" s="46">
        <v>0</v>
      </c>
      <c r="AC138" s="46">
        <v>0</v>
      </c>
      <c r="AD138" s="46">
        <v>0</v>
      </c>
      <c r="AE138" s="46">
        <v>0</v>
      </c>
      <c r="AF138" s="46">
        <f aca="true" t="shared" si="77" ref="AF138:AL138">SUM(AF134:AF137)</f>
        <v>0</v>
      </c>
      <c r="AG138" s="46">
        <f t="shared" si="77"/>
        <v>0</v>
      </c>
      <c r="AH138" s="46">
        <f t="shared" si="77"/>
        <v>0</v>
      </c>
      <c r="AI138" s="46">
        <f t="shared" si="77"/>
        <v>0</v>
      </c>
      <c r="AJ138" s="46">
        <f t="shared" si="77"/>
        <v>0</v>
      </c>
      <c r="AK138" s="46">
        <f t="shared" si="77"/>
        <v>0</v>
      </c>
      <c r="AL138" s="46">
        <f t="shared" si="77"/>
        <v>0</v>
      </c>
      <c r="AM138" s="46">
        <f aca="true" t="shared" si="78" ref="AM138:AX138">SUM(AM134:AM137)</f>
        <v>0</v>
      </c>
      <c r="AN138" s="46">
        <f t="shared" si="78"/>
        <v>0</v>
      </c>
      <c r="AO138" s="46">
        <f t="shared" si="78"/>
        <v>0</v>
      </c>
      <c r="AP138" s="46">
        <f t="shared" si="78"/>
        <v>0</v>
      </c>
      <c r="AQ138" s="46">
        <f t="shared" si="78"/>
        <v>0</v>
      </c>
      <c r="AR138" s="46">
        <f t="shared" si="78"/>
        <v>0</v>
      </c>
      <c r="AS138" s="46">
        <f t="shared" si="78"/>
        <v>0</v>
      </c>
      <c r="AT138" s="46">
        <f t="shared" si="78"/>
        <v>0</v>
      </c>
      <c r="AU138" s="46">
        <f t="shared" si="78"/>
        <v>0</v>
      </c>
      <c r="AV138" s="46">
        <f t="shared" si="78"/>
        <v>0</v>
      </c>
      <c r="AW138" s="46">
        <f t="shared" si="78"/>
        <v>0</v>
      </c>
      <c r="AX138" s="46">
        <f t="shared" si="78"/>
        <v>0</v>
      </c>
      <c r="AY138" s="13">
        <f t="shared" si="38"/>
        <v>0</v>
      </c>
    </row>
    <row r="139" spans="1:51" ht="15" thickBot="1">
      <c r="A139" s="110" t="s">
        <v>199</v>
      </c>
      <c r="B139" s="103" t="s">
        <v>192</v>
      </c>
      <c r="C139" s="63"/>
      <c r="D139" s="103"/>
      <c r="E139" s="101">
        <v>1</v>
      </c>
      <c r="F139" s="101"/>
      <c r="G139" s="101"/>
      <c r="H139" s="101"/>
      <c r="I139" s="101"/>
      <c r="J139" s="101"/>
      <c r="K139" s="109"/>
      <c r="L139" s="109"/>
      <c r="M139" s="109"/>
      <c r="N139" s="109"/>
      <c r="O139" s="109"/>
      <c r="P139" s="110"/>
      <c r="Q139" s="6">
        <f aca="true" t="shared" si="79" ref="Q139:Q144">SUM(E139:P139)</f>
        <v>1</v>
      </c>
      <c r="S139" s="7">
        <v>9</v>
      </c>
      <c r="T139" s="9">
        <f aca="true" t="shared" si="80" ref="T139:T145">+S139+(Z139+AA139+AB139)-(AM139+AN139+AO139)</f>
        <v>9</v>
      </c>
      <c r="U139" s="7"/>
      <c r="V139" s="3">
        <f aca="true" t="shared" si="81" ref="V139:V145">+U139+(AF139+AG139)-(AS139+AT139)</f>
        <v>0</v>
      </c>
      <c r="W139" s="3">
        <f aca="true" t="shared" si="82" ref="W139:W145">+U139+(AF139+AG139+AH139+AI139)-(AS139+AT139+AU139+AV139)</f>
        <v>0</v>
      </c>
      <c r="X139" s="7"/>
      <c r="Y139" s="11"/>
      <c r="Z139" s="115"/>
      <c r="AA139" s="101"/>
      <c r="AB139" s="101"/>
      <c r="AC139" s="101"/>
      <c r="AD139" s="101"/>
      <c r="AE139" s="101"/>
      <c r="AF139" s="101"/>
      <c r="AG139" s="109"/>
      <c r="AH139" s="109"/>
      <c r="AI139" s="109"/>
      <c r="AJ139" s="109"/>
      <c r="AL139" s="6">
        <f t="shared" si="37"/>
        <v>0</v>
      </c>
      <c r="AM139" s="64"/>
      <c r="AN139" s="64"/>
      <c r="AO139" s="64"/>
      <c r="AP139" s="64"/>
      <c r="AQ139" s="64"/>
      <c r="AR139" s="64"/>
      <c r="AS139" s="64"/>
      <c r="AY139" s="6">
        <f t="shared" si="38"/>
        <v>0</v>
      </c>
    </row>
    <row r="140" spans="1:51" ht="15" thickBot="1">
      <c r="A140" s="110" t="s">
        <v>199</v>
      </c>
      <c r="B140" s="103" t="s">
        <v>193</v>
      </c>
      <c r="C140" s="63"/>
      <c r="D140" s="103"/>
      <c r="E140" s="101">
        <v>2</v>
      </c>
      <c r="F140" s="101">
        <v>0</v>
      </c>
      <c r="G140" s="101"/>
      <c r="H140" s="101"/>
      <c r="I140" s="101"/>
      <c r="J140" s="101"/>
      <c r="K140" s="109"/>
      <c r="L140" s="109"/>
      <c r="M140" s="109"/>
      <c r="N140" s="109"/>
      <c r="O140" s="109"/>
      <c r="P140" s="110"/>
      <c r="Q140" s="6">
        <f t="shared" si="79"/>
        <v>2</v>
      </c>
      <c r="S140" s="7">
        <v>0</v>
      </c>
      <c r="T140" s="9">
        <f t="shared" si="80"/>
        <v>0</v>
      </c>
      <c r="U140" s="7"/>
      <c r="V140" s="3">
        <f t="shared" si="81"/>
        <v>0</v>
      </c>
      <c r="W140" s="3">
        <f t="shared" si="82"/>
        <v>0</v>
      </c>
      <c r="X140" s="7"/>
      <c r="Y140" s="11"/>
      <c r="Z140" s="101"/>
      <c r="AA140" s="101"/>
      <c r="AB140" s="101"/>
      <c r="AC140" s="101"/>
      <c r="AD140" s="101"/>
      <c r="AE140" s="101"/>
      <c r="AF140" s="101"/>
      <c r="AG140" s="109"/>
      <c r="AH140" s="109"/>
      <c r="AI140" s="109"/>
      <c r="AJ140" s="109"/>
      <c r="AL140" s="6">
        <f aca="true" t="shared" si="83" ref="AL140:AL146">SUM(Z140:AK140)</f>
        <v>0</v>
      </c>
      <c r="AM140" s="64"/>
      <c r="AN140" s="64">
        <v>0</v>
      </c>
      <c r="AO140" s="64"/>
      <c r="AP140" s="64"/>
      <c r="AQ140" s="64"/>
      <c r="AR140" s="64"/>
      <c r="AS140" s="64"/>
      <c r="AY140" s="6">
        <f aca="true" t="shared" si="84" ref="AY140:AY146">SUM(AM140:AX140)</f>
        <v>0</v>
      </c>
    </row>
    <row r="141" spans="1:51" ht="15" thickBot="1">
      <c r="A141" s="110" t="s">
        <v>199</v>
      </c>
      <c r="B141" s="103" t="s">
        <v>194</v>
      </c>
      <c r="C141" s="63"/>
      <c r="D141" s="103"/>
      <c r="E141" s="101">
        <v>2</v>
      </c>
      <c r="F141" s="101">
        <v>0</v>
      </c>
      <c r="G141" s="101"/>
      <c r="H141" s="101"/>
      <c r="I141" s="101"/>
      <c r="J141" s="101"/>
      <c r="K141" s="109"/>
      <c r="L141" s="109"/>
      <c r="M141" s="109"/>
      <c r="N141" s="109"/>
      <c r="O141" s="109"/>
      <c r="P141" s="110"/>
      <c r="Q141" s="6">
        <f t="shared" si="79"/>
        <v>2</v>
      </c>
      <c r="S141" s="7">
        <v>0</v>
      </c>
      <c r="T141" s="9">
        <f t="shared" si="80"/>
        <v>0</v>
      </c>
      <c r="U141" s="7"/>
      <c r="V141" s="3">
        <f t="shared" si="81"/>
        <v>0</v>
      </c>
      <c r="W141" s="3">
        <f t="shared" si="82"/>
        <v>0</v>
      </c>
      <c r="X141" s="7"/>
      <c r="Y141" s="11"/>
      <c r="Z141" s="101"/>
      <c r="AA141" s="101"/>
      <c r="AB141" s="101"/>
      <c r="AC141" s="101"/>
      <c r="AD141" s="101"/>
      <c r="AE141" s="101"/>
      <c r="AF141" s="101"/>
      <c r="AG141" s="109"/>
      <c r="AH141" s="109"/>
      <c r="AI141" s="109"/>
      <c r="AJ141" s="109"/>
      <c r="AL141" s="6">
        <f t="shared" si="83"/>
        <v>0</v>
      </c>
      <c r="AM141" s="64"/>
      <c r="AN141" s="64"/>
      <c r="AO141" s="64"/>
      <c r="AP141" s="64"/>
      <c r="AQ141" s="64"/>
      <c r="AR141" s="64"/>
      <c r="AS141" s="64"/>
      <c r="AY141" s="6">
        <f t="shared" si="84"/>
        <v>0</v>
      </c>
    </row>
    <row r="142" spans="1:51" ht="15" thickBot="1">
      <c r="A142" s="110" t="s">
        <v>199</v>
      </c>
      <c r="B142" s="103" t="s">
        <v>195</v>
      </c>
      <c r="C142" s="63"/>
      <c r="D142" s="103"/>
      <c r="E142" s="101">
        <v>0</v>
      </c>
      <c r="F142" s="101">
        <v>0</v>
      </c>
      <c r="G142" s="101"/>
      <c r="H142" s="101"/>
      <c r="I142" s="101"/>
      <c r="J142" s="101"/>
      <c r="K142" s="109"/>
      <c r="L142" s="109"/>
      <c r="M142" s="109"/>
      <c r="N142" s="109"/>
      <c r="O142" s="109"/>
      <c r="P142" s="110"/>
      <c r="Q142" s="6">
        <f t="shared" si="79"/>
        <v>0</v>
      </c>
      <c r="S142" s="7">
        <v>1</v>
      </c>
      <c r="T142" s="9">
        <f t="shared" si="80"/>
        <v>1</v>
      </c>
      <c r="U142" s="7"/>
      <c r="V142" s="3">
        <f t="shared" si="81"/>
        <v>0</v>
      </c>
      <c r="W142" s="3">
        <f t="shared" si="82"/>
        <v>0</v>
      </c>
      <c r="X142" s="7"/>
      <c r="Y142" s="11"/>
      <c r="Z142" s="101"/>
      <c r="AA142" s="101"/>
      <c r="AB142" s="101"/>
      <c r="AC142" s="101"/>
      <c r="AD142" s="101"/>
      <c r="AE142" s="101"/>
      <c r="AF142" s="101"/>
      <c r="AG142" s="109"/>
      <c r="AH142" s="109"/>
      <c r="AI142" s="109"/>
      <c r="AJ142" s="109"/>
      <c r="AL142" s="6">
        <f t="shared" si="83"/>
        <v>0</v>
      </c>
      <c r="AM142" s="64"/>
      <c r="AN142" s="64"/>
      <c r="AO142" s="64"/>
      <c r="AP142" s="64"/>
      <c r="AQ142" s="64"/>
      <c r="AR142" s="64"/>
      <c r="AS142" s="64"/>
      <c r="AY142" s="6">
        <f t="shared" si="84"/>
        <v>0</v>
      </c>
    </row>
    <row r="143" spans="1:51" ht="15" thickBot="1">
      <c r="A143" s="110" t="s">
        <v>199</v>
      </c>
      <c r="B143" s="103" t="s">
        <v>196</v>
      </c>
      <c r="C143" s="63"/>
      <c r="D143" s="103"/>
      <c r="E143" s="101"/>
      <c r="F143" s="101"/>
      <c r="G143" s="101"/>
      <c r="H143" s="101"/>
      <c r="I143" s="101"/>
      <c r="J143" s="101"/>
      <c r="K143" s="109"/>
      <c r="L143" s="109"/>
      <c r="M143" s="109"/>
      <c r="N143" s="109"/>
      <c r="O143" s="109"/>
      <c r="P143" s="110"/>
      <c r="Q143" s="6">
        <f t="shared" si="79"/>
        <v>0</v>
      </c>
      <c r="S143" s="7">
        <v>3</v>
      </c>
      <c r="T143" s="9">
        <f t="shared" si="80"/>
        <v>3</v>
      </c>
      <c r="U143" s="7"/>
      <c r="V143" s="3">
        <f t="shared" si="81"/>
        <v>0</v>
      </c>
      <c r="W143" s="3">
        <f t="shared" si="82"/>
        <v>0</v>
      </c>
      <c r="X143" s="7"/>
      <c r="Y143" s="11"/>
      <c r="Z143" s="101"/>
      <c r="AA143" s="101"/>
      <c r="AB143" s="101"/>
      <c r="AC143" s="101"/>
      <c r="AD143" s="101"/>
      <c r="AE143" s="101"/>
      <c r="AF143" s="101"/>
      <c r="AG143" s="109"/>
      <c r="AH143" s="109"/>
      <c r="AI143" s="109"/>
      <c r="AJ143" s="109"/>
      <c r="AL143" s="6">
        <f t="shared" si="83"/>
        <v>0</v>
      </c>
      <c r="AM143" s="64"/>
      <c r="AN143" s="64"/>
      <c r="AO143" s="64"/>
      <c r="AP143" s="64"/>
      <c r="AQ143" s="64"/>
      <c r="AR143" s="64"/>
      <c r="AS143" s="64"/>
      <c r="AY143" s="6">
        <f t="shared" si="84"/>
        <v>0</v>
      </c>
    </row>
    <row r="144" spans="1:51" ht="15" thickBot="1">
      <c r="A144" s="110" t="s">
        <v>199</v>
      </c>
      <c r="B144" s="103" t="s">
        <v>197</v>
      </c>
      <c r="C144" s="63"/>
      <c r="D144" s="103"/>
      <c r="E144" s="101">
        <v>0</v>
      </c>
      <c r="F144" s="101">
        <v>3</v>
      </c>
      <c r="G144" s="101"/>
      <c r="H144" s="101"/>
      <c r="I144" s="101"/>
      <c r="J144" s="101"/>
      <c r="K144" s="109"/>
      <c r="L144" s="109"/>
      <c r="M144" s="109"/>
      <c r="N144" s="109"/>
      <c r="O144" s="109"/>
      <c r="P144" s="110"/>
      <c r="Q144" s="6">
        <f t="shared" si="79"/>
        <v>3</v>
      </c>
      <c r="S144" s="7">
        <v>4</v>
      </c>
      <c r="T144" s="9">
        <f t="shared" si="80"/>
        <v>4</v>
      </c>
      <c r="U144" s="7"/>
      <c r="V144" s="3">
        <f t="shared" si="81"/>
        <v>0</v>
      </c>
      <c r="W144" s="3">
        <f t="shared" si="82"/>
        <v>0</v>
      </c>
      <c r="X144" s="7"/>
      <c r="Y144" s="11"/>
      <c r="Z144" s="101"/>
      <c r="AA144" s="101">
        <v>0</v>
      </c>
      <c r="AB144" s="101"/>
      <c r="AC144" s="101"/>
      <c r="AD144" s="101"/>
      <c r="AE144" s="101"/>
      <c r="AF144" s="101"/>
      <c r="AG144" s="109"/>
      <c r="AH144" s="109"/>
      <c r="AI144" s="109"/>
      <c r="AJ144" s="109"/>
      <c r="AL144" s="6">
        <f t="shared" si="83"/>
        <v>0</v>
      </c>
      <c r="AM144" s="64"/>
      <c r="AN144" s="64">
        <v>0</v>
      </c>
      <c r="AO144" s="64"/>
      <c r="AP144" s="64"/>
      <c r="AQ144" s="64"/>
      <c r="AR144" s="64"/>
      <c r="AS144" s="64"/>
      <c r="AY144" s="6">
        <f t="shared" si="84"/>
        <v>0</v>
      </c>
    </row>
    <row r="145" spans="1:51" ht="15" thickBot="1">
      <c r="A145" s="110" t="s">
        <v>199</v>
      </c>
      <c r="B145" s="103" t="s">
        <v>198</v>
      </c>
      <c r="C145" s="63"/>
      <c r="D145" s="103"/>
      <c r="E145" s="101">
        <v>0</v>
      </c>
      <c r="F145" s="101"/>
      <c r="G145" s="101"/>
      <c r="H145" s="101"/>
      <c r="I145" s="101"/>
      <c r="J145" s="101"/>
      <c r="K145" s="109"/>
      <c r="L145" s="109"/>
      <c r="M145" s="109"/>
      <c r="N145" s="109"/>
      <c r="O145" s="109"/>
      <c r="P145" s="110"/>
      <c r="Q145" s="6">
        <f>SUM(E145:P145)</f>
        <v>0</v>
      </c>
      <c r="S145" s="7">
        <v>2</v>
      </c>
      <c r="T145" s="9">
        <f t="shared" si="80"/>
        <v>2</v>
      </c>
      <c r="U145" s="7"/>
      <c r="V145" s="3">
        <f t="shared" si="81"/>
        <v>0</v>
      </c>
      <c r="W145" s="3">
        <f t="shared" si="82"/>
        <v>0</v>
      </c>
      <c r="X145" s="7"/>
      <c r="Y145" s="11"/>
      <c r="Z145" s="101"/>
      <c r="AA145" s="101"/>
      <c r="AB145" s="101"/>
      <c r="AC145" s="101"/>
      <c r="AD145" s="101"/>
      <c r="AE145" s="101"/>
      <c r="AF145" s="101"/>
      <c r="AG145" s="109"/>
      <c r="AH145" s="109"/>
      <c r="AI145" s="109"/>
      <c r="AJ145" s="109"/>
      <c r="AL145" s="6">
        <f t="shared" si="83"/>
        <v>0</v>
      </c>
      <c r="AM145" s="64"/>
      <c r="AN145" s="64"/>
      <c r="AO145" s="64"/>
      <c r="AP145" s="64"/>
      <c r="AQ145" s="64"/>
      <c r="AR145" s="64"/>
      <c r="AS145" s="64"/>
      <c r="AY145" s="6">
        <f t="shared" si="84"/>
        <v>0</v>
      </c>
    </row>
    <row r="146" spans="1:51" s="65" customFormat="1" ht="15" thickBot="1">
      <c r="A146" s="196" t="s">
        <v>229</v>
      </c>
      <c r="B146" s="197"/>
      <c r="C146" s="45">
        <f>+D146/Metas!G35</f>
        <v>0.6220839813374804</v>
      </c>
      <c r="D146" s="19">
        <f>+Q146/R146</f>
        <v>0.012441679626749611</v>
      </c>
      <c r="E146" s="14">
        <f aca="true" t="shared" si="85" ref="E146:P146">SUM(E139:E145)</f>
        <v>5</v>
      </c>
      <c r="F146" s="14">
        <f t="shared" si="85"/>
        <v>3</v>
      </c>
      <c r="G146" s="14">
        <f t="shared" si="85"/>
        <v>0</v>
      </c>
      <c r="H146" s="14">
        <f t="shared" si="85"/>
        <v>0</v>
      </c>
      <c r="I146" s="14">
        <f t="shared" si="85"/>
        <v>0</v>
      </c>
      <c r="J146" s="14">
        <f t="shared" si="85"/>
        <v>0</v>
      </c>
      <c r="K146" s="14">
        <f t="shared" si="85"/>
        <v>0</v>
      </c>
      <c r="L146" s="14">
        <f t="shared" si="85"/>
        <v>0</v>
      </c>
      <c r="M146" s="14">
        <f t="shared" si="85"/>
        <v>0</v>
      </c>
      <c r="N146" s="14">
        <f t="shared" si="85"/>
        <v>0</v>
      </c>
      <c r="O146" s="14">
        <f t="shared" si="85"/>
        <v>0</v>
      </c>
      <c r="P146" s="14">
        <f t="shared" si="85"/>
        <v>0</v>
      </c>
      <c r="Q146" s="14">
        <f>SUM(Q139:Q145)</f>
        <v>8</v>
      </c>
      <c r="R146" s="15">
        <f>+Y146-T146</f>
        <v>643</v>
      </c>
      <c r="S146" s="13">
        <f aca="true" t="shared" si="86" ref="S146:X146">SUM(S139:S145)</f>
        <v>19</v>
      </c>
      <c r="T146" s="13">
        <f t="shared" si="86"/>
        <v>19</v>
      </c>
      <c r="U146" s="13">
        <f t="shared" si="86"/>
        <v>0</v>
      </c>
      <c r="V146" s="13">
        <f t="shared" si="86"/>
        <v>0</v>
      </c>
      <c r="W146" s="13">
        <f t="shared" si="86"/>
        <v>0</v>
      </c>
      <c r="X146" s="13">
        <f t="shared" si="86"/>
        <v>0</v>
      </c>
      <c r="Y146" s="16">
        <v>662</v>
      </c>
      <c r="Z146" s="13">
        <f>SUM(Z139:Z145)</f>
        <v>0</v>
      </c>
      <c r="AA146" s="13">
        <f aca="true" t="shared" si="87" ref="AA146:AK146">SUM(AA139:AA145)</f>
        <v>0</v>
      </c>
      <c r="AB146" s="13">
        <f t="shared" si="87"/>
        <v>0</v>
      </c>
      <c r="AC146" s="13">
        <f t="shared" si="87"/>
        <v>0</v>
      </c>
      <c r="AD146" s="13">
        <f t="shared" si="87"/>
        <v>0</v>
      </c>
      <c r="AE146" s="13">
        <f t="shared" si="87"/>
        <v>0</v>
      </c>
      <c r="AF146" s="13">
        <f t="shared" si="87"/>
        <v>0</v>
      </c>
      <c r="AG146" s="13">
        <f t="shared" si="87"/>
        <v>0</v>
      </c>
      <c r="AH146" s="13">
        <f t="shared" si="87"/>
        <v>0</v>
      </c>
      <c r="AI146" s="13">
        <f t="shared" si="87"/>
        <v>0</v>
      </c>
      <c r="AJ146" s="13">
        <f t="shared" si="87"/>
        <v>0</v>
      </c>
      <c r="AK146" s="13">
        <f t="shared" si="87"/>
        <v>0</v>
      </c>
      <c r="AL146" s="13">
        <f t="shared" si="83"/>
        <v>0</v>
      </c>
      <c r="AM146" s="13">
        <f aca="true" t="shared" si="88" ref="AM146:AX146">SUM(AM139:AM145)</f>
        <v>0</v>
      </c>
      <c r="AN146" s="13">
        <f t="shared" si="88"/>
        <v>0</v>
      </c>
      <c r="AO146" s="13">
        <f t="shared" si="88"/>
        <v>0</v>
      </c>
      <c r="AP146" s="13">
        <f t="shared" si="88"/>
        <v>0</v>
      </c>
      <c r="AQ146" s="13">
        <f t="shared" si="88"/>
        <v>0</v>
      </c>
      <c r="AR146" s="13">
        <f t="shared" si="88"/>
        <v>0</v>
      </c>
      <c r="AS146" s="13">
        <f t="shared" si="88"/>
        <v>0</v>
      </c>
      <c r="AT146" s="13">
        <f t="shared" si="88"/>
        <v>0</v>
      </c>
      <c r="AU146" s="13">
        <f t="shared" si="88"/>
        <v>0</v>
      </c>
      <c r="AV146" s="13">
        <f t="shared" si="88"/>
        <v>0</v>
      </c>
      <c r="AW146" s="13">
        <f t="shared" si="88"/>
        <v>0</v>
      </c>
      <c r="AX146" s="13">
        <f t="shared" si="88"/>
        <v>0</v>
      </c>
      <c r="AY146" s="13">
        <f t="shared" si="84"/>
        <v>0</v>
      </c>
    </row>
    <row r="147" spans="2:51" ht="14.25">
      <c r="B147" s="148" t="s">
        <v>215</v>
      </c>
      <c r="C147" s="72"/>
      <c r="D147" s="111"/>
      <c r="E147" s="112">
        <f aca="true" t="shared" si="89" ref="E147:AY147">+E25+E36+E47+E61+E72+E78+E89+E106+E119+E133+E138+E146</f>
        <v>753</v>
      </c>
      <c r="F147" s="112">
        <f t="shared" si="89"/>
        <v>876</v>
      </c>
      <c r="G147" s="112">
        <f t="shared" si="89"/>
        <v>0</v>
      </c>
      <c r="H147" s="112">
        <f t="shared" si="89"/>
        <v>0</v>
      </c>
      <c r="I147" s="112">
        <f t="shared" si="89"/>
        <v>0</v>
      </c>
      <c r="J147" s="112">
        <f t="shared" si="89"/>
        <v>0</v>
      </c>
      <c r="K147" s="112">
        <f t="shared" si="89"/>
        <v>0</v>
      </c>
      <c r="L147" s="112">
        <f t="shared" si="89"/>
        <v>0</v>
      </c>
      <c r="M147" s="112">
        <f t="shared" si="89"/>
        <v>0</v>
      </c>
      <c r="N147" s="112">
        <f t="shared" si="89"/>
        <v>0</v>
      </c>
      <c r="O147" s="112">
        <f t="shared" si="89"/>
        <v>0</v>
      </c>
      <c r="P147" s="112">
        <f t="shared" si="89"/>
        <v>0</v>
      </c>
      <c r="Q147" s="112">
        <f>+Q25+Q36+Q47+Q61+Q72+Q78+Q89+Q106+Q119+Q133+Q138+Q146</f>
        <v>1629</v>
      </c>
      <c r="R147" s="69">
        <f t="shared" si="89"/>
        <v>95915</v>
      </c>
      <c r="S147" s="69">
        <f t="shared" si="89"/>
        <v>2046</v>
      </c>
      <c r="T147" s="69">
        <f t="shared" si="89"/>
        <v>2118</v>
      </c>
      <c r="U147" s="69">
        <f t="shared" si="89"/>
        <v>0</v>
      </c>
      <c r="V147" s="69">
        <f t="shared" si="89"/>
        <v>0</v>
      </c>
      <c r="W147" s="69">
        <f>+W25+W36+W47+W61+W72+W78+W89+W106+W119+W133+W138+W146</f>
        <v>0</v>
      </c>
      <c r="X147" s="69">
        <f t="shared" si="89"/>
        <v>0</v>
      </c>
      <c r="Y147" s="69">
        <f t="shared" si="89"/>
        <v>98033</v>
      </c>
      <c r="Z147" s="69">
        <f t="shared" si="89"/>
        <v>34</v>
      </c>
      <c r="AA147" s="69">
        <f t="shared" si="89"/>
        <v>46</v>
      </c>
      <c r="AB147" s="69">
        <f t="shared" si="89"/>
        <v>0</v>
      </c>
      <c r="AC147" s="69">
        <f t="shared" si="89"/>
        <v>0</v>
      </c>
      <c r="AD147" s="69">
        <f t="shared" si="89"/>
        <v>0</v>
      </c>
      <c r="AE147" s="69">
        <f t="shared" si="89"/>
        <v>0</v>
      </c>
      <c r="AF147" s="69">
        <f t="shared" si="89"/>
        <v>0</v>
      </c>
      <c r="AG147" s="69">
        <f t="shared" si="89"/>
        <v>0</v>
      </c>
      <c r="AH147" s="69">
        <f t="shared" si="89"/>
        <v>0</v>
      </c>
      <c r="AI147" s="69">
        <f t="shared" si="89"/>
        <v>0</v>
      </c>
      <c r="AJ147" s="69">
        <f t="shared" si="89"/>
        <v>0</v>
      </c>
      <c r="AK147" s="69">
        <f t="shared" si="89"/>
        <v>0</v>
      </c>
      <c r="AL147" s="70">
        <f t="shared" si="89"/>
        <v>80</v>
      </c>
      <c r="AM147" s="69">
        <f t="shared" si="89"/>
        <v>1</v>
      </c>
      <c r="AN147" s="69">
        <f t="shared" si="89"/>
        <v>7</v>
      </c>
      <c r="AO147" s="69">
        <f t="shared" si="89"/>
        <v>0</v>
      </c>
      <c r="AP147" s="69">
        <f t="shared" si="89"/>
        <v>0</v>
      </c>
      <c r="AQ147" s="69">
        <f t="shared" si="89"/>
        <v>0</v>
      </c>
      <c r="AR147" s="69">
        <f t="shared" si="89"/>
        <v>0</v>
      </c>
      <c r="AS147" s="69">
        <f t="shared" si="89"/>
        <v>0</v>
      </c>
      <c r="AT147" s="69">
        <f t="shared" si="89"/>
        <v>0</v>
      </c>
      <c r="AU147" s="69">
        <f t="shared" si="89"/>
        <v>0</v>
      </c>
      <c r="AV147" s="69">
        <f t="shared" si="89"/>
        <v>0</v>
      </c>
      <c r="AW147" s="69">
        <f t="shared" si="89"/>
        <v>0</v>
      </c>
      <c r="AX147" s="69">
        <f t="shared" si="89"/>
        <v>0</v>
      </c>
      <c r="AY147" s="70">
        <f t="shared" si="89"/>
        <v>8</v>
      </c>
    </row>
    <row r="148" spans="3:4" ht="14.25">
      <c r="C148" s="74"/>
      <c r="D148" s="98"/>
    </row>
    <row r="149" spans="19:21" ht="14.25">
      <c r="S149" s="69"/>
      <c r="T149" s="69"/>
      <c r="U149" s="69"/>
    </row>
    <row r="150" ht="14.25">
      <c r="Q150" s="69"/>
    </row>
  </sheetData>
  <sheetProtection/>
  <mergeCells count="23">
    <mergeCell ref="S10:X10"/>
    <mergeCell ref="Z10:AL10"/>
    <mergeCell ref="AM10:AY10"/>
    <mergeCell ref="A1:A10"/>
    <mergeCell ref="B1:B10"/>
    <mergeCell ref="E2:Q9"/>
    <mergeCell ref="E10:Q10"/>
    <mergeCell ref="R2:AY9"/>
    <mergeCell ref="E1:AY1"/>
    <mergeCell ref="D1:D10"/>
    <mergeCell ref="A25:B25"/>
    <mergeCell ref="A36:B36"/>
    <mergeCell ref="A47:B47"/>
    <mergeCell ref="C1:C11"/>
    <mergeCell ref="A133:B133"/>
    <mergeCell ref="A138:B138"/>
    <mergeCell ref="A146:B146"/>
    <mergeCell ref="A61:B61"/>
    <mergeCell ref="A72:B72"/>
    <mergeCell ref="A78:B78"/>
    <mergeCell ref="A89:B89"/>
    <mergeCell ref="A106:B106"/>
    <mergeCell ref="A119:B11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49"/>
  <sheetViews>
    <sheetView zoomScale="80" zoomScaleNormal="8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11.421875" defaultRowHeight="15"/>
  <cols>
    <col min="1" max="1" width="25.7109375" style="110" bestFit="1" customWidth="1"/>
    <col min="2" max="2" width="50.00390625" style="110" bestFit="1" customWidth="1"/>
    <col min="3" max="3" width="14.421875" style="62" customWidth="1"/>
    <col min="4" max="4" width="12.28125" style="62" customWidth="1"/>
    <col min="5" max="5" width="8.421875" style="62" bestFit="1" customWidth="1"/>
    <col min="6" max="6" width="8.7109375" style="62" bestFit="1" customWidth="1"/>
    <col min="7" max="10" width="9.7109375" style="62" bestFit="1" customWidth="1"/>
    <col min="11" max="11" width="8.00390625" style="62" customWidth="1"/>
    <col min="12" max="12" width="8.28125" style="62" bestFit="1" customWidth="1"/>
    <col min="13" max="13" width="7.57421875" style="62" bestFit="1" customWidth="1"/>
    <col min="14" max="15" width="9.7109375" style="62" bestFit="1" customWidth="1"/>
    <col min="16" max="16" width="7.140625" style="62" bestFit="1" customWidth="1"/>
    <col min="17" max="17" width="11.140625" style="62" bestFit="1" customWidth="1"/>
    <col min="18" max="18" width="19.8515625" style="62" bestFit="1" customWidth="1"/>
    <col min="19" max="21" width="11.140625" style="76" bestFit="1" customWidth="1"/>
    <col min="22" max="24" width="11.140625" style="62" bestFit="1" customWidth="1"/>
    <col min="25" max="25" width="12.7109375" style="62" bestFit="1" customWidth="1"/>
    <col min="26" max="26" width="7.57421875" style="62" customWidth="1"/>
    <col min="27" max="27" width="8.57421875" style="62" bestFit="1" customWidth="1"/>
    <col min="28" max="32" width="7.57421875" style="62" bestFit="1" customWidth="1"/>
    <col min="33" max="33" width="8.140625" style="62" bestFit="1" customWidth="1"/>
    <col min="34" max="34" width="7.57421875" style="62" bestFit="1" customWidth="1"/>
    <col min="35" max="35" width="7.7109375" style="62" bestFit="1" customWidth="1"/>
    <col min="36" max="36" width="7.8515625" style="62" bestFit="1" customWidth="1"/>
    <col min="37" max="37" width="7.140625" style="62" bestFit="1" customWidth="1"/>
    <col min="38" max="38" width="9.7109375" style="62" bestFit="1" customWidth="1"/>
    <col min="39" max="39" width="6.57421875" style="62" bestFit="1" customWidth="1"/>
    <col min="40" max="40" width="8.7109375" style="62" bestFit="1" customWidth="1"/>
    <col min="41" max="41" width="7.00390625" style="62" bestFit="1" customWidth="1"/>
    <col min="42" max="42" width="5.8515625" style="62" bestFit="1" customWidth="1"/>
    <col min="43" max="43" width="6.00390625" style="62" bestFit="1" customWidth="1"/>
    <col min="44" max="44" width="5.8515625" style="62" bestFit="1" customWidth="1"/>
    <col min="45" max="45" width="5.7109375" style="62" bestFit="1" customWidth="1"/>
    <col min="46" max="46" width="8.28125" style="62" bestFit="1" customWidth="1"/>
    <col min="47" max="47" width="7.57421875" style="62" bestFit="1" customWidth="1"/>
    <col min="48" max="48" width="7.7109375" style="62" bestFit="1" customWidth="1"/>
    <col min="49" max="49" width="7.8515625" style="62" bestFit="1" customWidth="1"/>
    <col min="50" max="50" width="7.00390625" style="62" bestFit="1" customWidth="1"/>
    <col min="51" max="51" width="9.7109375" style="62" bestFit="1" customWidth="1"/>
    <col min="52" max="16384" width="11.421875" style="62" customWidth="1"/>
  </cols>
  <sheetData>
    <row r="1" spans="1:51" s="137" customFormat="1" ht="73.5" customHeight="1" thickBot="1" thickTop="1">
      <c r="A1" s="204" t="s">
        <v>0</v>
      </c>
      <c r="B1" s="198" t="s">
        <v>1</v>
      </c>
      <c r="C1" s="198" t="s">
        <v>217</v>
      </c>
      <c r="D1" s="222" t="s">
        <v>213</v>
      </c>
      <c r="E1" s="225" t="s">
        <v>29</v>
      </c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</row>
    <row r="2" spans="1:51" s="137" customFormat="1" ht="15" customHeight="1">
      <c r="A2" s="205"/>
      <c r="B2" s="208"/>
      <c r="C2" s="199"/>
      <c r="D2" s="223"/>
      <c r="E2" s="212" t="s">
        <v>3</v>
      </c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12" t="s">
        <v>4</v>
      </c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13"/>
    </row>
    <row r="3" spans="1:51" s="137" customFormat="1" ht="15" customHeight="1">
      <c r="A3" s="205"/>
      <c r="B3" s="208"/>
      <c r="C3" s="199"/>
      <c r="D3" s="223"/>
      <c r="E3" s="214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4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5"/>
    </row>
    <row r="4" spans="1:51" s="137" customFormat="1" ht="15" customHeight="1">
      <c r="A4" s="205"/>
      <c r="B4" s="208"/>
      <c r="C4" s="199"/>
      <c r="D4" s="223"/>
      <c r="E4" s="214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4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5"/>
    </row>
    <row r="5" spans="1:51" s="137" customFormat="1" ht="15" customHeight="1">
      <c r="A5" s="205"/>
      <c r="B5" s="208"/>
      <c r="C5" s="199"/>
      <c r="D5" s="223"/>
      <c r="E5" s="214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4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5"/>
    </row>
    <row r="6" spans="1:51" s="137" customFormat="1" ht="15" customHeight="1">
      <c r="A6" s="205"/>
      <c r="B6" s="208"/>
      <c r="C6" s="199"/>
      <c r="D6" s="223"/>
      <c r="E6" s="214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4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5"/>
    </row>
    <row r="7" spans="1:51" s="137" customFormat="1" ht="15" customHeight="1">
      <c r="A7" s="205"/>
      <c r="B7" s="208"/>
      <c r="C7" s="199"/>
      <c r="D7" s="223"/>
      <c r="E7" s="214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4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5"/>
    </row>
    <row r="8" spans="1:51" s="137" customFormat="1" ht="15" customHeight="1">
      <c r="A8" s="205"/>
      <c r="B8" s="208"/>
      <c r="C8" s="199"/>
      <c r="D8" s="223"/>
      <c r="E8" s="214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4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5"/>
    </row>
    <row r="9" spans="1:51" s="137" customFormat="1" ht="15.75" customHeight="1" thickBot="1">
      <c r="A9" s="205"/>
      <c r="B9" s="208"/>
      <c r="C9" s="199"/>
      <c r="D9" s="223"/>
      <c r="E9" s="216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6"/>
      <c r="S9" s="210"/>
      <c r="T9" s="210"/>
      <c r="U9" s="210"/>
      <c r="V9" s="210"/>
      <c r="W9" s="210"/>
      <c r="X9" s="210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7"/>
    </row>
    <row r="10" spans="1:51" s="137" customFormat="1" ht="57.75" customHeight="1" thickBot="1" thickTop="1">
      <c r="A10" s="206"/>
      <c r="B10" s="200"/>
      <c r="C10" s="199"/>
      <c r="D10" s="224"/>
      <c r="E10" s="202" t="s">
        <v>30</v>
      </c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3"/>
      <c r="R10" s="138" t="s">
        <v>33</v>
      </c>
      <c r="S10" s="226" t="s">
        <v>32</v>
      </c>
      <c r="T10" s="227"/>
      <c r="U10" s="227"/>
      <c r="V10" s="227"/>
      <c r="W10" s="227"/>
      <c r="X10" s="228"/>
      <c r="Y10" s="139" t="s">
        <v>31</v>
      </c>
      <c r="Z10" s="201" t="s">
        <v>34</v>
      </c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1" t="s">
        <v>35</v>
      </c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3"/>
    </row>
    <row r="11" spans="1:51" s="137" customFormat="1" ht="22.5" thickBot="1">
      <c r="A11" s="149"/>
      <c r="B11" s="149"/>
      <c r="C11" s="200"/>
      <c r="D11" s="140" t="s">
        <v>214</v>
      </c>
      <c r="E11" s="140" t="s">
        <v>9</v>
      </c>
      <c r="F11" s="140" t="s">
        <v>10</v>
      </c>
      <c r="G11" s="140" t="s">
        <v>11</v>
      </c>
      <c r="H11" s="140" t="s">
        <v>12</v>
      </c>
      <c r="I11" s="140" t="s">
        <v>13</v>
      </c>
      <c r="J11" s="140" t="s">
        <v>14</v>
      </c>
      <c r="K11" s="140" t="s">
        <v>15</v>
      </c>
      <c r="L11" s="140" t="s">
        <v>16</v>
      </c>
      <c r="M11" s="140" t="s">
        <v>17</v>
      </c>
      <c r="N11" s="140" t="s">
        <v>18</v>
      </c>
      <c r="O11" s="140" t="s">
        <v>19</v>
      </c>
      <c r="P11" s="140" t="s">
        <v>20</v>
      </c>
      <c r="Q11" s="140" t="s">
        <v>21</v>
      </c>
      <c r="R11" s="143"/>
      <c r="S11" s="144" t="s">
        <v>292</v>
      </c>
      <c r="T11" s="145" t="s">
        <v>274</v>
      </c>
      <c r="U11" s="144" t="s">
        <v>22</v>
      </c>
      <c r="V11" s="141" t="s">
        <v>26</v>
      </c>
      <c r="W11" s="141" t="s">
        <v>28</v>
      </c>
      <c r="X11" s="141" t="s">
        <v>27</v>
      </c>
      <c r="Y11" s="143" t="s">
        <v>310</v>
      </c>
      <c r="Z11" s="140" t="s">
        <v>9</v>
      </c>
      <c r="AA11" s="140" t="s">
        <v>10</v>
      </c>
      <c r="AB11" s="140" t="s">
        <v>11</v>
      </c>
      <c r="AC11" s="140" t="s">
        <v>12</v>
      </c>
      <c r="AD11" s="140" t="s">
        <v>13</v>
      </c>
      <c r="AE11" s="140" t="s">
        <v>14</v>
      </c>
      <c r="AF11" s="140" t="s">
        <v>15</v>
      </c>
      <c r="AG11" s="140" t="s">
        <v>16</v>
      </c>
      <c r="AH11" s="140" t="s">
        <v>17</v>
      </c>
      <c r="AI11" s="140" t="s">
        <v>18</v>
      </c>
      <c r="AJ11" s="140" t="s">
        <v>19</v>
      </c>
      <c r="AK11" s="140" t="s">
        <v>20</v>
      </c>
      <c r="AL11" s="140" t="s">
        <v>21</v>
      </c>
      <c r="AM11" s="140" t="s">
        <v>9</v>
      </c>
      <c r="AN11" s="140" t="s">
        <v>10</v>
      </c>
      <c r="AO11" s="140" t="s">
        <v>11</v>
      </c>
      <c r="AP11" s="140" t="s">
        <v>12</v>
      </c>
      <c r="AQ11" s="140" t="s">
        <v>13</v>
      </c>
      <c r="AR11" s="140" t="s">
        <v>14</v>
      </c>
      <c r="AS11" s="140" t="s">
        <v>15</v>
      </c>
      <c r="AT11" s="140" t="s">
        <v>16</v>
      </c>
      <c r="AU11" s="140" t="s">
        <v>17</v>
      </c>
      <c r="AV11" s="140" t="s">
        <v>18</v>
      </c>
      <c r="AW11" s="140" t="s">
        <v>19</v>
      </c>
      <c r="AX11" s="140" t="s">
        <v>20</v>
      </c>
      <c r="AY11" s="140" t="s">
        <v>21</v>
      </c>
    </row>
    <row r="12" spans="1:51" s="65" customFormat="1" ht="15" thickBot="1">
      <c r="A12" s="1" t="s">
        <v>78</v>
      </c>
      <c r="B12" s="103" t="s">
        <v>65</v>
      </c>
      <c r="C12" s="63"/>
      <c r="D12" s="63"/>
      <c r="E12" s="101">
        <v>8</v>
      </c>
      <c r="F12" s="101">
        <v>20</v>
      </c>
      <c r="G12" s="101"/>
      <c r="H12" s="101"/>
      <c r="I12" s="101"/>
      <c r="J12" s="101"/>
      <c r="K12" s="101"/>
      <c r="L12" s="100"/>
      <c r="M12" s="100"/>
      <c r="N12" s="100"/>
      <c r="O12" s="100"/>
      <c r="P12" s="2"/>
      <c r="Q12" s="6">
        <f aca="true" t="shared" si="0" ref="Q12:Q24">SUM(E12:P12)</f>
        <v>28</v>
      </c>
      <c r="R12" s="4"/>
      <c r="S12" s="17">
        <v>1006</v>
      </c>
      <c r="T12" s="49">
        <f>+S12+(Z12+AA12+AB12)-(AM12+AN12+AO12)</f>
        <v>1001</v>
      </c>
      <c r="U12" s="17"/>
      <c r="V12" s="61">
        <f>+U12+(AF12+AG12)-(AS12+AT12)</f>
        <v>0</v>
      </c>
      <c r="W12" s="61">
        <f aca="true" t="shared" si="1" ref="W12:W24">+U12+(AF12+AG12+AH12+AI12)-(AS12+AT12+AU12+AV12)</f>
        <v>0</v>
      </c>
      <c r="X12" s="7"/>
      <c r="Y12" s="5"/>
      <c r="Z12" s="100">
        <v>0</v>
      </c>
      <c r="AA12" s="100">
        <v>0</v>
      </c>
      <c r="AB12" s="100"/>
      <c r="AC12" s="100"/>
      <c r="AD12" s="100"/>
      <c r="AE12" s="100"/>
      <c r="AF12" s="100"/>
      <c r="AG12" s="100"/>
      <c r="AH12" s="100"/>
      <c r="AI12" s="102"/>
      <c r="AJ12" s="100"/>
      <c r="AK12" s="2"/>
      <c r="AL12" s="6">
        <f>SUM(Z12:AK12)</f>
        <v>0</v>
      </c>
      <c r="AM12" s="101">
        <v>5</v>
      </c>
      <c r="AN12" s="101">
        <v>0</v>
      </c>
      <c r="AO12" s="101"/>
      <c r="AP12" s="101"/>
      <c r="AQ12" s="101"/>
      <c r="AR12" s="101"/>
      <c r="AS12" s="101"/>
      <c r="AT12" s="101"/>
      <c r="AU12" s="101"/>
      <c r="AV12" s="101"/>
      <c r="AW12" s="100"/>
      <c r="AX12" s="100"/>
      <c r="AY12" s="6">
        <f>SUM(AM12:AX12)</f>
        <v>5</v>
      </c>
    </row>
    <row r="13" spans="1:51" s="65" customFormat="1" ht="15" thickBot="1">
      <c r="A13" s="1" t="s">
        <v>78</v>
      </c>
      <c r="B13" s="103" t="s">
        <v>66</v>
      </c>
      <c r="C13" s="63"/>
      <c r="D13" s="63"/>
      <c r="E13" s="101">
        <v>10</v>
      </c>
      <c r="F13" s="101">
        <v>28</v>
      </c>
      <c r="G13" s="101"/>
      <c r="H13" s="101"/>
      <c r="I13" s="101"/>
      <c r="J13" s="101"/>
      <c r="K13" s="101"/>
      <c r="L13" s="100"/>
      <c r="M13" s="100"/>
      <c r="N13" s="100"/>
      <c r="O13" s="100"/>
      <c r="P13" s="2"/>
      <c r="Q13" s="6">
        <f t="shared" si="0"/>
        <v>38</v>
      </c>
      <c r="R13" s="4"/>
      <c r="S13" s="17">
        <v>761</v>
      </c>
      <c r="T13" s="49">
        <f aca="true" t="shared" si="2" ref="T13:T23">+S13+(Z13+AA13+AB13)-(AM13+AN13+AO13)</f>
        <v>767</v>
      </c>
      <c r="U13" s="17"/>
      <c r="V13" s="61">
        <f aca="true" t="shared" si="3" ref="V13:V75">+U13+(AF13+AG13)-(AS13+AT13)</f>
        <v>0</v>
      </c>
      <c r="W13" s="61">
        <f t="shared" si="1"/>
        <v>0</v>
      </c>
      <c r="X13" s="7"/>
      <c r="Y13" s="5"/>
      <c r="Z13" s="100">
        <v>13</v>
      </c>
      <c r="AA13" s="100">
        <v>26</v>
      </c>
      <c r="AB13" s="100"/>
      <c r="AC13" s="100"/>
      <c r="AD13" s="100"/>
      <c r="AE13" s="100"/>
      <c r="AF13" s="100"/>
      <c r="AG13" s="100"/>
      <c r="AH13" s="100"/>
      <c r="AI13" s="102"/>
      <c r="AJ13" s="100"/>
      <c r="AK13" s="2"/>
      <c r="AL13" s="6">
        <f aca="true" t="shared" si="4" ref="AL13:AL75">SUM(Z13:AK13)</f>
        <v>39</v>
      </c>
      <c r="AM13" s="101">
        <v>14</v>
      </c>
      <c r="AN13" s="101">
        <v>19</v>
      </c>
      <c r="AO13" s="101"/>
      <c r="AP13" s="101"/>
      <c r="AQ13" s="101"/>
      <c r="AR13" s="101"/>
      <c r="AS13" s="101"/>
      <c r="AT13" s="101"/>
      <c r="AU13" s="101"/>
      <c r="AV13" s="101"/>
      <c r="AW13" s="100"/>
      <c r="AX13" s="100"/>
      <c r="AY13" s="6">
        <f aca="true" t="shared" si="5" ref="AY13:AY75">SUM(AM13:AX13)</f>
        <v>33</v>
      </c>
    </row>
    <row r="14" spans="1:51" s="65" customFormat="1" ht="15" thickBot="1">
      <c r="A14" s="1" t="s">
        <v>78</v>
      </c>
      <c r="B14" s="103" t="s">
        <v>67</v>
      </c>
      <c r="C14" s="63"/>
      <c r="D14" s="63"/>
      <c r="E14" s="101">
        <v>15</v>
      </c>
      <c r="F14" s="101">
        <v>35</v>
      </c>
      <c r="G14" s="101"/>
      <c r="H14" s="101"/>
      <c r="I14" s="101"/>
      <c r="J14" s="101"/>
      <c r="K14" s="101"/>
      <c r="L14" s="100"/>
      <c r="M14" s="100"/>
      <c r="N14" s="100"/>
      <c r="O14" s="100"/>
      <c r="P14" s="2"/>
      <c r="Q14" s="6">
        <f t="shared" si="0"/>
        <v>50</v>
      </c>
      <c r="R14" s="4"/>
      <c r="S14" s="17">
        <v>1070</v>
      </c>
      <c r="T14" s="49">
        <f t="shared" si="2"/>
        <v>1087</v>
      </c>
      <c r="U14" s="17"/>
      <c r="V14" s="61">
        <f t="shared" si="3"/>
        <v>0</v>
      </c>
      <c r="W14" s="61">
        <f t="shared" si="1"/>
        <v>0</v>
      </c>
      <c r="X14" s="7"/>
      <c r="Y14" s="5"/>
      <c r="Z14" s="100">
        <v>10</v>
      </c>
      <c r="AA14" s="100">
        <v>12</v>
      </c>
      <c r="AB14" s="100"/>
      <c r="AC14" s="100"/>
      <c r="AD14" s="100"/>
      <c r="AE14" s="100"/>
      <c r="AF14" s="100"/>
      <c r="AG14" s="100"/>
      <c r="AH14" s="100"/>
      <c r="AI14" s="102"/>
      <c r="AJ14" s="100"/>
      <c r="AK14" s="2"/>
      <c r="AL14" s="6">
        <f t="shared" si="4"/>
        <v>22</v>
      </c>
      <c r="AM14" s="101">
        <v>3</v>
      </c>
      <c r="AN14" s="101">
        <v>2</v>
      </c>
      <c r="AO14" s="101"/>
      <c r="AP14" s="101"/>
      <c r="AQ14" s="101"/>
      <c r="AR14" s="101"/>
      <c r="AS14" s="101"/>
      <c r="AT14" s="101"/>
      <c r="AU14" s="101"/>
      <c r="AV14" s="101"/>
      <c r="AW14" s="100"/>
      <c r="AX14" s="100"/>
      <c r="AY14" s="6">
        <f t="shared" si="5"/>
        <v>5</v>
      </c>
    </row>
    <row r="15" spans="1:51" s="65" customFormat="1" ht="15" thickBot="1">
      <c r="A15" s="1" t="s">
        <v>78</v>
      </c>
      <c r="B15" s="103" t="s">
        <v>68</v>
      </c>
      <c r="C15" s="63"/>
      <c r="D15" s="63"/>
      <c r="E15" s="101">
        <v>13</v>
      </c>
      <c r="F15" s="101">
        <v>78</v>
      </c>
      <c r="G15" s="101"/>
      <c r="H15" s="101"/>
      <c r="I15" s="101"/>
      <c r="J15" s="101"/>
      <c r="K15" s="101"/>
      <c r="L15" s="100"/>
      <c r="M15" s="100"/>
      <c r="N15" s="100"/>
      <c r="O15" s="100"/>
      <c r="P15" s="2"/>
      <c r="Q15" s="6">
        <f t="shared" si="0"/>
        <v>91</v>
      </c>
      <c r="R15" s="4"/>
      <c r="S15" s="17">
        <v>997</v>
      </c>
      <c r="T15" s="49">
        <f t="shared" si="2"/>
        <v>1007</v>
      </c>
      <c r="U15" s="17"/>
      <c r="V15" s="61">
        <f t="shared" si="3"/>
        <v>0</v>
      </c>
      <c r="W15" s="61">
        <f t="shared" si="1"/>
        <v>0</v>
      </c>
      <c r="X15" s="7"/>
      <c r="Y15" s="5"/>
      <c r="Z15" s="100"/>
      <c r="AA15" s="100">
        <v>10</v>
      </c>
      <c r="AB15" s="100"/>
      <c r="AC15" s="100"/>
      <c r="AD15" s="100"/>
      <c r="AE15" s="100"/>
      <c r="AF15" s="100"/>
      <c r="AG15" s="100"/>
      <c r="AH15" s="100"/>
      <c r="AI15" s="102"/>
      <c r="AJ15" s="100"/>
      <c r="AK15" s="2"/>
      <c r="AL15" s="6">
        <f t="shared" si="4"/>
        <v>10</v>
      </c>
      <c r="AM15" s="101">
        <v>0</v>
      </c>
      <c r="AN15" s="101"/>
      <c r="AO15" s="101"/>
      <c r="AP15" s="101"/>
      <c r="AQ15" s="101"/>
      <c r="AR15" s="101"/>
      <c r="AS15" s="101"/>
      <c r="AT15" s="101"/>
      <c r="AU15" s="101"/>
      <c r="AV15" s="101"/>
      <c r="AW15" s="100"/>
      <c r="AX15" s="100"/>
      <c r="AY15" s="6">
        <f t="shared" si="5"/>
        <v>0</v>
      </c>
    </row>
    <row r="16" spans="1:51" s="65" customFormat="1" ht="15" thickBot="1">
      <c r="A16" s="1" t="s">
        <v>78</v>
      </c>
      <c r="B16" s="103" t="s">
        <v>69</v>
      </c>
      <c r="C16" s="66"/>
      <c r="D16" s="63"/>
      <c r="E16" s="101">
        <v>49</v>
      </c>
      <c r="F16" s="101">
        <v>25</v>
      </c>
      <c r="G16" s="101"/>
      <c r="H16" s="101"/>
      <c r="I16" s="101"/>
      <c r="J16" s="101"/>
      <c r="K16" s="101"/>
      <c r="L16" s="100"/>
      <c r="M16" s="100"/>
      <c r="N16" s="100"/>
      <c r="O16" s="100"/>
      <c r="P16" s="2"/>
      <c r="Q16" s="6">
        <f t="shared" si="0"/>
        <v>74</v>
      </c>
      <c r="R16" s="4"/>
      <c r="S16" s="17">
        <v>868</v>
      </c>
      <c r="T16" s="49">
        <f t="shared" si="2"/>
        <v>874</v>
      </c>
      <c r="U16" s="17"/>
      <c r="V16" s="61">
        <f t="shared" si="3"/>
        <v>0</v>
      </c>
      <c r="W16" s="61">
        <f t="shared" si="1"/>
        <v>0</v>
      </c>
      <c r="X16" s="7"/>
      <c r="Y16" s="5"/>
      <c r="Z16" s="100">
        <v>9</v>
      </c>
      <c r="AA16" s="100">
        <v>8</v>
      </c>
      <c r="AB16" s="100"/>
      <c r="AC16" s="100"/>
      <c r="AD16" s="100"/>
      <c r="AE16" s="100"/>
      <c r="AF16" s="100"/>
      <c r="AG16" s="100"/>
      <c r="AH16" s="100"/>
      <c r="AI16" s="102"/>
      <c r="AJ16" s="100"/>
      <c r="AK16" s="2"/>
      <c r="AL16" s="6">
        <f t="shared" si="4"/>
        <v>17</v>
      </c>
      <c r="AM16" s="101"/>
      <c r="AN16" s="101">
        <v>11</v>
      </c>
      <c r="AO16" s="101"/>
      <c r="AP16" s="101"/>
      <c r="AQ16" s="101"/>
      <c r="AR16" s="101"/>
      <c r="AS16" s="101"/>
      <c r="AT16" s="101"/>
      <c r="AU16" s="101"/>
      <c r="AV16" s="101"/>
      <c r="AW16" s="100"/>
      <c r="AX16" s="100"/>
      <c r="AY16" s="6">
        <f t="shared" si="5"/>
        <v>11</v>
      </c>
    </row>
    <row r="17" spans="1:51" s="65" customFormat="1" ht="15" thickBot="1">
      <c r="A17" s="1" t="s">
        <v>78</v>
      </c>
      <c r="B17" s="103" t="s">
        <v>70</v>
      </c>
      <c r="C17" s="63"/>
      <c r="D17" s="63"/>
      <c r="E17" s="101">
        <v>16</v>
      </c>
      <c r="F17" s="101">
        <v>10</v>
      </c>
      <c r="G17" s="101"/>
      <c r="H17" s="101"/>
      <c r="I17" s="101"/>
      <c r="J17" s="101"/>
      <c r="K17" s="101"/>
      <c r="L17" s="100"/>
      <c r="M17" s="100"/>
      <c r="N17" s="100"/>
      <c r="O17" s="100"/>
      <c r="P17" s="2"/>
      <c r="Q17" s="6">
        <f t="shared" si="0"/>
        <v>26</v>
      </c>
      <c r="R17" s="4"/>
      <c r="S17" s="17">
        <v>652</v>
      </c>
      <c r="T17" s="49">
        <f t="shared" si="2"/>
        <v>660</v>
      </c>
      <c r="U17" s="17"/>
      <c r="V17" s="61">
        <f t="shared" si="3"/>
        <v>0</v>
      </c>
      <c r="W17" s="61">
        <f t="shared" si="1"/>
        <v>0</v>
      </c>
      <c r="X17" s="7"/>
      <c r="Y17" s="5"/>
      <c r="Z17" s="100"/>
      <c r="AA17" s="100">
        <v>8</v>
      </c>
      <c r="AB17" s="100"/>
      <c r="AC17" s="100"/>
      <c r="AD17" s="100"/>
      <c r="AE17" s="100"/>
      <c r="AF17" s="100"/>
      <c r="AG17" s="100"/>
      <c r="AH17" s="100"/>
      <c r="AI17" s="102"/>
      <c r="AJ17" s="100"/>
      <c r="AK17" s="2"/>
      <c r="AL17" s="6">
        <f t="shared" si="4"/>
        <v>8</v>
      </c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0"/>
      <c r="AX17" s="100"/>
      <c r="AY17" s="6">
        <f t="shared" si="5"/>
        <v>0</v>
      </c>
    </row>
    <row r="18" spans="1:51" s="65" customFormat="1" ht="15" thickBot="1">
      <c r="A18" s="1" t="s">
        <v>78</v>
      </c>
      <c r="B18" s="103" t="s">
        <v>71</v>
      </c>
      <c r="C18" s="63"/>
      <c r="D18" s="63"/>
      <c r="E18" s="101">
        <v>0</v>
      </c>
      <c r="F18" s="101">
        <v>0</v>
      </c>
      <c r="G18" s="101"/>
      <c r="H18" s="101"/>
      <c r="I18" s="101"/>
      <c r="J18" s="101"/>
      <c r="K18" s="101"/>
      <c r="L18" s="100"/>
      <c r="M18" s="100"/>
      <c r="N18" s="100"/>
      <c r="O18" s="100"/>
      <c r="P18" s="2"/>
      <c r="Q18" s="6">
        <f t="shared" si="0"/>
        <v>0</v>
      </c>
      <c r="R18" s="4"/>
      <c r="S18" s="17">
        <v>271</v>
      </c>
      <c r="T18" s="49">
        <f t="shared" si="2"/>
        <v>272</v>
      </c>
      <c r="U18" s="17"/>
      <c r="V18" s="61">
        <f t="shared" si="3"/>
        <v>0</v>
      </c>
      <c r="W18" s="61">
        <f t="shared" si="1"/>
        <v>0</v>
      </c>
      <c r="X18" s="7"/>
      <c r="Y18" s="5"/>
      <c r="Z18" s="100">
        <v>1</v>
      </c>
      <c r="AA18" s="100">
        <v>0</v>
      </c>
      <c r="AB18" s="100"/>
      <c r="AC18" s="100"/>
      <c r="AD18" s="100"/>
      <c r="AE18" s="100"/>
      <c r="AF18" s="100"/>
      <c r="AG18" s="100"/>
      <c r="AH18" s="100"/>
      <c r="AI18" s="102"/>
      <c r="AJ18" s="100"/>
      <c r="AK18" s="2"/>
      <c r="AL18" s="6">
        <f t="shared" si="4"/>
        <v>1</v>
      </c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0"/>
      <c r="AX18" s="100"/>
      <c r="AY18" s="6">
        <f t="shared" si="5"/>
        <v>0</v>
      </c>
    </row>
    <row r="19" spans="1:51" s="65" customFormat="1" ht="15" thickBot="1">
      <c r="A19" s="1" t="s">
        <v>78</v>
      </c>
      <c r="B19" s="103" t="s">
        <v>72</v>
      </c>
      <c r="C19" s="63"/>
      <c r="D19" s="63"/>
      <c r="E19" s="101">
        <v>3</v>
      </c>
      <c r="F19" s="101">
        <v>0</v>
      </c>
      <c r="G19" s="101"/>
      <c r="H19" s="101"/>
      <c r="I19" s="101"/>
      <c r="J19" s="101"/>
      <c r="K19" s="101"/>
      <c r="L19" s="100"/>
      <c r="M19" s="100"/>
      <c r="N19" s="100"/>
      <c r="O19" s="100"/>
      <c r="P19" s="2"/>
      <c r="Q19" s="6">
        <f t="shared" si="0"/>
        <v>3</v>
      </c>
      <c r="R19" s="4"/>
      <c r="S19" s="17">
        <v>28</v>
      </c>
      <c r="T19" s="49">
        <f t="shared" si="2"/>
        <v>28</v>
      </c>
      <c r="U19" s="17"/>
      <c r="V19" s="61">
        <f t="shared" si="3"/>
        <v>0</v>
      </c>
      <c r="W19" s="61">
        <f t="shared" si="1"/>
        <v>0</v>
      </c>
      <c r="X19" s="7"/>
      <c r="Y19" s="5"/>
      <c r="Z19" s="100"/>
      <c r="AA19" s="100">
        <v>0</v>
      </c>
      <c r="AB19" s="100"/>
      <c r="AC19" s="100"/>
      <c r="AD19" s="100"/>
      <c r="AE19" s="100"/>
      <c r="AF19" s="100"/>
      <c r="AG19" s="100"/>
      <c r="AH19" s="100"/>
      <c r="AI19" s="102"/>
      <c r="AJ19" s="100"/>
      <c r="AK19" s="2"/>
      <c r="AL19" s="6">
        <f t="shared" si="4"/>
        <v>0</v>
      </c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0"/>
      <c r="AX19" s="100"/>
      <c r="AY19" s="6">
        <f t="shared" si="5"/>
        <v>0</v>
      </c>
    </row>
    <row r="20" spans="1:51" s="65" customFormat="1" ht="15" thickBot="1">
      <c r="A20" s="1" t="s">
        <v>78</v>
      </c>
      <c r="B20" s="103" t="s">
        <v>73</v>
      </c>
      <c r="C20" s="63"/>
      <c r="D20" s="63"/>
      <c r="E20" s="106">
        <v>0</v>
      </c>
      <c r="F20" s="106">
        <v>0</v>
      </c>
      <c r="G20" s="101"/>
      <c r="H20" s="101"/>
      <c r="I20" s="101"/>
      <c r="J20" s="101"/>
      <c r="K20" s="101"/>
      <c r="L20" s="100"/>
      <c r="M20" s="100"/>
      <c r="N20" s="100"/>
      <c r="O20" s="100"/>
      <c r="P20" s="2"/>
      <c r="Q20" s="6">
        <f t="shared" si="0"/>
        <v>0</v>
      </c>
      <c r="R20" s="4"/>
      <c r="S20" s="17">
        <v>34</v>
      </c>
      <c r="T20" s="49">
        <f t="shared" si="2"/>
        <v>34</v>
      </c>
      <c r="U20" s="17"/>
      <c r="V20" s="61">
        <f t="shared" si="3"/>
        <v>0</v>
      </c>
      <c r="W20" s="61">
        <f t="shared" si="1"/>
        <v>0</v>
      </c>
      <c r="X20" s="7"/>
      <c r="Y20" s="5"/>
      <c r="Z20" s="100">
        <v>0</v>
      </c>
      <c r="AA20" s="100"/>
      <c r="AB20" s="100"/>
      <c r="AC20" s="100"/>
      <c r="AD20" s="100"/>
      <c r="AE20" s="100"/>
      <c r="AF20" s="100"/>
      <c r="AG20" s="100"/>
      <c r="AH20" s="100"/>
      <c r="AI20" s="102"/>
      <c r="AJ20" s="100"/>
      <c r="AK20" s="2"/>
      <c r="AL20" s="6">
        <f t="shared" si="4"/>
        <v>0</v>
      </c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0"/>
      <c r="AX20" s="100"/>
      <c r="AY20" s="6">
        <f t="shared" si="5"/>
        <v>0</v>
      </c>
    </row>
    <row r="21" spans="1:51" s="65" customFormat="1" ht="15" thickBot="1">
      <c r="A21" s="1" t="s">
        <v>78</v>
      </c>
      <c r="B21" s="103" t="s">
        <v>74</v>
      </c>
      <c r="C21" s="67"/>
      <c r="D21" s="63"/>
      <c r="E21" s="101">
        <v>0</v>
      </c>
      <c r="F21" s="101">
        <v>0</v>
      </c>
      <c r="G21" s="101"/>
      <c r="H21" s="101"/>
      <c r="I21" s="101"/>
      <c r="J21" s="101"/>
      <c r="K21" s="101"/>
      <c r="L21" s="100"/>
      <c r="M21" s="100"/>
      <c r="N21" s="100"/>
      <c r="O21" s="100"/>
      <c r="P21" s="2"/>
      <c r="Q21" s="6">
        <f t="shared" si="0"/>
        <v>0</v>
      </c>
      <c r="R21" s="4"/>
      <c r="S21" s="17">
        <v>29</v>
      </c>
      <c r="T21" s="49">
        <f t="shared" si="2"/>
        <v>32</v>
      </c>
      <c r="U21" s="17"/>
      <c r="V21" s="61">
        <f t="shared" si="3"/>
        <v>0</v>
      </c>
      <c r="W21" s="61">
        <f t="shared" si="1"/>
        <v>0</v>
      </c>
      <c r="X21" s="7"/>
      <c r="Y21" s="5"/>
      <c r="Z21" s="100">
        <v>0</v>
      </c>
      <c r="AA21" s="100">
        <v>3</v>
      </c>
      <c r="AB21" s="100"/>
      <c r="AC21" s="100"/>
      <c r="AD21" s="100"/>
      <c r="AE21" s="100"/>
      <c r="AF21" s="100"/>
      <c r="AG21" s="100"/>
      <c r="AH21" s="100"/>
      <c r="AI21" s="102"/>
      <c r="AJ21" s="100"/>
      <c r="AK21" s="2"/>
      <c r="AL21" s="6">
        <f t="shared" si="4"/>
        <v>3</v>
      </c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0"/>
      <c r="AX21" s="100"/>
      <c r="AY21" s="6">
        <f t="shared" si="5"/>
        <v>0</v>
      </c>
    </row>
    <row r="22" spans="1:51" s="65" customFormat="1" ht="15" thickBot="1">
      <c r="A22" s="1" t="s">
        <v>78</v>
      </c>
      <c r="B22" s="103" t="s">
        <v>75</v>
      </c>
      <c r="C22" s="63"/>
      <c r="D22" s="63"/>
      <c r="E22" s="101">
        <v>2</v>
      </c>
      <c r="F22" s="101">
        <v>6</v>
      </c>
      <c r="G22" s="101"/>
      <c r="H22" s="101"/>
      <c r="I22" s="101"/>
      <c r="J22" s="101"/>
      <c r="K22" s="101"/>
      <c r="L22" s="100"/>
      <c r="M22" s="100"/>
      <c r="N22" s="100"/>
      <c r="O22" s="100"/>
      <c r="P22" s="2"/>
      <c r="Q22" s="6">
        <f t="shared" si="0"/>
        <v>8</v>
      </c>
      <c r="R22" s="4"/>
      <c r="S22" s="17">
        <v>127</v>
      </c>
      <c r="T22" s="49">
        <f t="shared" si="2"/>
        <v>131</v>
      </c>
      <c r="U22" s="17"/>
      <c r="V22" s="61">
        <f t="shared" si="3"/>
        <v>0</v>
      </c>
      <c r="W22" s="61">
        <f t="shared" si="1"/>
        <v>0</v>
      </c>
      <c r="X22" s="7"/>
      <c r="Y22" s="5"/>
      <c r="Z22" s="100">
        <v>4</v>
      </c>
      <c r="AA22" s="100">
        <v>0</v>
      </c>
      <c r="AB22" s="100"/>
      <c r="AC22" s="100"/>
      <c r="AD22" s="100"/>
      <c r="AE22" s="100"/>
      <c r="AF22" s="100"/>
      <c r="AG22" s="100"/>
      <c r="AH22" s="100"/>
      <c r="AI22" s="102"/>
      <c r="AJ22" s="100"/>
      <c r="AK22" s="2"/>
      <c r="AL22" s="6">
        <f t="shared" si="4"/>
        <v>4</v>
      </c>
      <c r="AM22" s="101">
        <v>0</v>
      </c>
      <c r="AN22" s="101"/>
      <c r="AO22" s="101"/>
      <c r="AP22" s="101"/>
      <c r="AQ22" s="101"/>
      <c r="AR22" s="101"/>
      <c r="AS22" s="101"/>
      <c r="AT22" s="101"/>
      <c r="AU22" s="101"/>
      <c r="AV22" s="101"/>
      <c r="AW22" s="100"/>
      <c r="AX22" s="100"/>
      <c r="AY22" s="6">
        <f t="shared" si="5"/>
        <v>0</v>
      </c>
    </row>
    <row r="23" spans="1:51" s="65" customFormat="1" ht="15" thickBot="1">
      <c r="A23" s="1" t="s">
        <v>78</v>
      </c>
      <c r="B23" s="103" t="s">
        <v>76</v>
      </c>
      <c r="C23" s="63"/>
      <c r="D23" s="63"/>
      <c r="E23" s="101">
        <v>0</v>
      </c>
      <c r="F23" s="101">
        <v>2</v>
      </c>
      <c r="G23" s="101"/>
      <c r="H23" s="101"/>
      <c r="I23" s="101"/>
      <c r="J23" s="101"/>
      <c r="K23" s="101"/>
      <c r="L23" s="100"/>
      <c r="M23" s="100"/>
      <c r="N23" s="100"/>
      <c r="O23" s="100"/>
      <c r="P23" s="2"/>
      <c r="Q23" s="6">
        <f t="shared" si="0"/>
        <v>2</v>
      </c>
      <c r="R23" s="4"/>
      <c r="S23" s="17">
        <v>93</v>
      </c>
      <c r="T23" s="49">
        <f t="shared" si="2"/>
        <v>93</v>
      </c>
      <c r="U23" s="17"/>
      <c r="V23" s="61">
        <f>+U23+(AF23+AG23)-(AS23+AT23)</f>
        <v>0</v>
      </c>
      <c r="W23" s="61">
        <f t="shared" si="1"/>
        <v>0</v>
      </c>
      <c r="X23" s="7"/>
      <c r="Y23" s="5"/>
      <c r="Z23" s="100"/>
      <c r="AA23" s="100">
        <v>0</v>
      </c>
      <c r="AB23" s="100"/>
      <c r="AC23" s="100"/>
      <c r="AD23" s="100"/>
      <c r="AE23" s="100"/>
      <c r="AF23" s="100"/>
      <c r="AG23" s="100"/>
      <c r="AH23" s="100"/>
      <c r="AI23" s="102"/>
      <c r="AJ23" s="100"/>
      <c r="AK23" s="2"/>
      <c r="AL23" s="6">
        <f t="shared" si="4"/>
        <v>0</v>
      </c>
      <c r="AM23" s="101">
        <v>0</v>
      </c>
      <c r="AN23" s="101"/>
      <c r="AO23" s="101"/>
      <c r="AP23" s="101"/>
      <c r="AQ23" s="101"/>
      <c r="AR23" s="101"/>
      <c r="AS23" s="101"/>
      <c r="AT23" s="101"/>
      <c r="AU23" s="101"/>
      <c r="AV23" s="101"/>
      <c r="AW23" s="100"/>
      <c r="AX23" s="100"/>
      <c r="AY23" s="6">
        <f t="shared" si="5"/>
        <v>0</v>
      </c>
    </row>
    <row r="24" spans="1:51" s="65" customFormat="1" ht="15" thickBot="1">
      <c r="A24" s="1" t="s">
        <v>78</v>
      </c>
      <c r="B24" s="103" t="s">
        <v>77</v>
      </c>
      <c r="C24" s="63"/>
      <c r="D24" s="63"/>
      <c r="E24" s="101">
        <v>28</v>
      </c>
      <c r="F24" s="101">
        <v>19</v>
      </c>
      <c r="G24" s="101"/>
      <c r="H24" s="101"/>
      <c r="I24" s="101"/>
      <c r="J24" s="101"/>
      <c r="K24" s="101"/>
      <c r="L24" s="100"/>
      <c r="M24" s="100"/>
      <c r="N24" s="100"/>
      <c r="O24" s="100"/>
      <c r="P24" s="2"/>
      <c r="Q24" s="6">
        <f t="shared" si="0"/>
        <v>47</v>
      </c>
      <c r="R24" s="4"/>
      <c r="S24" s="17">
        <v>151</v>
      </c>
      <c r="T24" s="49">
        <f>+S24+(Z24+AA24+AB24)-(AM24+AN24+AO24)</f>
        <v>155</v>
      </c>
      <c r="U24" s="17"/>
      <c r="V24" s="61">
        <f t="shared" si="3"/>
        <v>0</v>
      </c>
      <c r="W24" s="61">
        <f t="shared" si="1"/>
        <v>0</v>
      </c>
      <c r="X24" s="7"/>
      <c r="Y24" s="5"/>
      <c r="Z24" s="100">
        <v>3</v>
      </c>
      <c r="AA24" s="100">
        <v>1</v>
      </c>
      <c r="AB24" s="100"/>
      <c r="AC24" s="100"/>
      <c r="AD24" s="100"/>
      <c r="AE24" s="100"/>
      <c r="AF24" s="100"/>
      <c r="AG24" s="100"/>
      <c r="AH24" s="100"/>
      <c r="AI24" s="102"/>
      <c r="AJ24" s="100"/>
      <c r="AK24" s="2"/>
      <c r="AL24" s="6">
        <f t="shared" si="4"/>
        <v>4</v>
      </c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0"/>
      <c r="AX24" s="100"/>
      <c r="AY24" s="6">
        <f t="shared" si="5"/>
        <v>0</v>
      </c>
    </row>
    <row r="25" spans="1:51" s="65" customFormat="1" ht="15" thickBot="1">
      <c r="A25" s="196" t="s">
        <v>200</v>
      </c>
      <c r="B25" s="197"/>
      <c r="C25" s="45">
        <f>+D25/Metas!H30</f>
        <v>0.8207995526977914</v>
      </c>
      <c r="D25" s="19">
        <f>+Q25/R25</f>
        <v>0.020519988817444785</v>
      </c>
      <c r="E25" s="95">
        <f>SUM(E12:E24)</f>
        <v>144</v>
      </c>
      <c r="F25" s="95">
        <f>SUM(F12:F24)</f>
        <v>223</v>
      </c>
      <c r="G25" s="95">
        <f aca="true" t="shared" si="6" ref="G25:P25">SUM(G12:G24)</f>
        <v>0</v>
      </c>
      <c r="H25" s="95">
        <f t="shared" si="6"/>
        <v>0</v>
      </c>
      <c r="I25" s="95">
        <f t="shared" si="6"/>
        <v>0</v>
      </c>
      <c r="J25" s="95">
        <f t="shared" si="6"/>
        <v>0</v>
      </c>
      <c r="K25" s="95">
        <f t="shared" si="6"/>
        <v>0</v>
      </c>
      <c r="L25" s="95">
        <f t="shared" si="6"/>
        <v>0</v>
      </c>
      <c r="M25" s="95">
        <f t="shared" si="6"/>
        <v>0</v>
      </c>
      <c r="N25" s="95">
        <f t="shared" si="6"/>
        <v>0</v>
      </c>
      <c r="O25" s="95">
        <f t="shared" si="6"/>
        <v>0</v>
      </c>
      <c r="P25" s="95">
        <f t="shared" si="6"/>
        <v>0</v>
      </c>
      <c r="Q25" s="14">
        <f>SUM(Q12:Q24)</f>
        <v>367</v>
      </c>
      <c r="R25" s="15">
        <f>+Y25-T25</f>
        <v>17885</v>
      </c>
      <c r="S25" s="14">
        <f aca="true" t="shared" si="7" ref="S25:X25">SUM(S12:S24)</f>
        <v>6087</v>
      </c>
      <c r="T25" s="14">
        <f>SUM(T12:T24)</f>
        <v>6141</v>
      </c>
      <c r="U25" s="14">
        <f t="shared" si="7"/>
        <v>0</v>
      </c>
      <c r="V25" s="13">
        <f t="shared" si="7"/>
        <v>0</v>
      </c>
      <c r="W25" s="46">
        <f t="shared" si="7"/>
        <v>0</v>
      </c>
      <c r="X25" s="46">
        <f t="shared" si="7"/>
        <v>0</v>
      </c>
      <c r="Y25" s="16">
        <v>24026</v>
      </c>
      <c r="Z25" s="13">
        <f>SUM(Z12:Z24)</f>
        <v>40</v>
      </c>
      <c r="AA25" s="13">
        <f aca="true" t="shared" si="8" ref="AA25:AK25">SUM(AA12:AA24)</f>
        <v>68</v>
      </c>
      <c r="AB25" s="13">
        <f t="shared" si="8"/>
        <v>0</v>
      </c>
      <c r="AC25" s="13">
        <f t="shared" si="8"/>
        <v>0</v>
      </c>
      <c r="AD25" s="13">
        <f t="shared" si="8"/>
        <v>0</v>
      </c>
      <c r="AE25" s="13">
        <f t="shared" si="8"/>
        <v>0</v>
      </c>
      <c r="AF25" s="13">
        <f t="shared" si="8"/>
        <v>0</v>
      </c>
      <c r="AG25" s="13">
        <f t="shared" si="8"/>
        <v>0</v>
      </c>
      <c r="AH25" s="13">
        <f t="shared" si="8"/>
        <v>0</v>
      </c>
      <c r="AI25" s="13">
        <f t="shared" si="8"/>
        <v>0</v>
      </c>
      <c r="AJ25" s="13">
        <f t="shared" si="8"/>
        <v>0</v>
      </c>
      <c r="AK25" s="13">
        <f t="shared" si="8"/>
        <v>0</v>
      </c>
      <c r="AL25" s="13">
        <f t="shared" si="4"/>
        <v>108</v>
      </c>
      <c r="AM25" s="13">
        <f aca="true" t="shared" si="9" ref="AM25:AX25">SUM(AM12:AM24)</f>
        <v>22</v>
      </c>
      <c r="AN25" s="13">
        <f t="shared" si="9"/>
        <v>32</v>
      </c>
      <c r="AO25" s="13">
        <f t="shared" si="9"/>
        <v>0</v>
      </c>
      <c r="AP25" s="13">
        <f t="shared" si="9"/>
        <v>0</v>
      </c>
      <c r="AQ25" s="13">
        <f t="shared" si="9"/>
        <v>0</v>
      </c>
      <c r="AR25" s="13">
        <f t="shared" si="9"/>
        <v>0</v>
      </c>
      <c r="AS25" s="13">
        <f t="shared" si="9"/>
        <v>0</v>
      </c>
      <c r="AT25" s="13">
        <f t="shared" si="9"/>
        <v>0</v>
      </c>
      <c r="AU25" s="13">
        <f t="shared" si="9"/>
        <v>0</v>
      </c>
      <c r="AV25" s="13">
        <f t="shared" si="9"/>
        <v>0</v>
      </c>
      <c r="AW25" s="13">
        <f t="shared" si="9"/>
        <v>0</v>
      </c>
      <c r="AX25" s="13">
        <f t="shared" si="9"/>
        <v>0</v>
      </c>
      <c r="AY25" s="13">
        <f t="shared" si="5"/>
        <v>54</v>
      </c>
    </row>
    <row r="26" spans="1:51" s="65" customFormat="1" ht="15" thickBot="1">
      <c r="A26" s="1" t="s">
        <v>79</v>
      </c>
      <c r="B26" s="103" t="s">
        <v>80</v>
      </c>
      <c r="C26" s="63"/>
      <c r="D26" s="63"/>
      <c r="E26" s="101">
        <v>64</v>
      </c>
      <c r="F26" s="101">
        <v>68</v>
      </c>
      <c r="G26" s="101"/>
      <c r="H26" s="101"/>
      <c r="I26" s="101"/>
      <c r="J26" s="101"/>
      <c r="K26" s="101"/>
      <c r="L26" s="101"/>
      <c r="M26" s="101"/>
      <c r="N26" s="101"/>
      <c r="O26" s="100"/>
      <c r="P26" s="2"/>
      <c r="Q26" s="6">
        <f aca="true" t="shared" si="10" ref="Q26:Q34">SUM(E26:P26)</f>
        <v>132</v>
      </c>
      <c r="R26" s="4"/>
      <c r="S26" s="17">
        <v>1040</v>
      </c>
      <c r="T26" s="49">
        <f aca="true" t="shared" si="11" ref="T26:T77">+S26+(Z26+AA26+AB26)-(AM26+AN26+AO26)</f>
        <v>1085</v>
      </c>
      <c r="U26" s="17"/>
      <c r="V26" s="61">
        <f t="shared" si="3"/>
        <v>0</v>
      </c>
      <c r="W26" s="61">
        <f aca="true" t="shared" si="12" ref="W26:W35">+U26+(AF26+AG26+AH26+AI26)-(AS26+AT26+AU26+AV26)</f>
        <v>0</v>
      </c>
      <c r="X26" s="7"/>
      <c r="Y26" s="5"/>
      <c r="Z26" s="100">
        <v>17</v>
      </c>
      <c r="AA26" s="100">
        <v>28</v>
      </c>
      <c r="AB26" s="100"/>
      <c r="AC26" s="100"/>
      <c r="AD26" s="100"/>
      <c r="AE26" s="100"/>
      <c r="AF26" s="100"/>
      <c r="AG26" s="100"/>
      <c r="AH26" s="100"/>
      <c r="AI26" s="102"/>
      <c r="AJ26" s="100"/>
      <c r="AK26" s="2"/>
      <c r="AL26" s="6">
        <f t="shared" si="4"/>
        <v>45</v>
      </c>
      <c r="AM26" s="101">
        <v>0</v>
      </c>
      <c r="AN26" s="101">
        <v>0</v>
      </c>
      <c r="AO26" s="101"/>
      <c r="AP26" s="101"/>
      <c r="AQ26" s="101"/>
      <c r="AR26" s="101"/>
      <c r="AS26" s="101"/>
      <c r="AT26" s="101"/>
      <c r="AU26" s="101"/>
      <c r="AV26" s="101"/>
      <c r="AW26" s="100"/>
      <c r="AX26" s="94"/>
      <c r="AY26" s="6">
        <f t="shared" si="5"/>
        <v>0</v>
      </c>
    </row>
    <row r="27" spans="1:51" s="65" customFormat="1" ht="15" thickBot="1">
      <c r="A27" s="1" t="s">
        <v>79</v>
      </c>
      <c r="B27" s="103" t="s">
        <v>81</v>
      </c>
      <c r="C27" s="63"/>
      <c r="D27" s="63"/>
      <c r="E27" s="101">
        <v>63</v>
      </c>
      <c r="F27" s="101">
        <v>58</v>
      </c>
      <c r="G27" s="101"/>
      <c r="H27" s="101"/>
      <c r="I27" s="101"/>
      <c r="J27" s="101"/>
      <c r="K27" s="101"/>
      <c r="L27" s="101"/>
      <c r="M27" s="101"/>
      <c r="N27" s="101"/>
      <c r="O27" s="100"/>
      <c r="P27" s="2"/>
      <c r="Q27" s="6">
        <f t="shared" si="10"/>
        <v>121</v>
      </c>
      <c r="R27" s="4"/>
      <c r="S27" s="17">
        <v>926</v>
      </c>
      <c r="T27" s="49">
        <f t="shared" si="11"/>
        <v>947</v>
      </c>
      <c r="U27" s="17"/>
      <c r="V27" s="61">
        <f t="shared" si="3"/>
        <v>0</v>
      </c>
      <c r="W27" s="61">
        <f t="shared" si="12"/>
        <v>0</v>
      </c>
      <c r="X27" s="7"/>
      <c r="Y27" s="5"/>
      <c r="Z27" s="100">
        <v>10</v>
      </c>
      <c r="AA27" s="100">
        <v>11</v>
      </c>
      <c r="AB27" s="100"/>
      <c r="AC27" s="100"/>
      <c r="AD27" s="100"/>
      <c r="AE27" s="100"/>
      <c r="AF27" s="100"/>
      <c r="AG27" s="100"/>
      <c r="AH27" s="100"/>
      <c r="AI27" s="102"/>
      <c r="AJ27" s="100"/>
      <c r="AK27" s="2"/>
      <c r="AL27" s="6">
        <f t="shared" si="4"/>
        <v>21</v>
      </c>
      <c r="AM27" s="101">
        <v>0</v>
      </c>
      <c r="AN27" s="101">
        <v>0</v>
      </c>
      <c r="AO27" s="101"/>
      <c r="AP27" s="101"/>
      <c r="AQ27" s="101"/>
      <c r="AR27" s="101"/>
      <c r="AS27" s="101"/>
      <c r="AT27" s="101"/>
      <c r="AU27" s="101"/>
      <c r="AV27" s="101"/>
      <c r="AW27" s="100"/>
      <c r="AX27" s="94"/>
      <c r="AY27" s="6">
        <f t="shared" si="5"/>
        <v>0</v>
      </c>
    </row>
    <row r="28" spans="1:51" s="65" customFormat="1" ht="15" thickBot="1">
      <c r="A28" s="1" t="s">
        <v>79</v>
      </c>
      <c r="B28" s="103" t="s">
        <v>82</v>
      </c>
      <c r="C28" s="63"/>
      <c r="D28" s="63"/>
      <c r="E28" s="101">
        <v>48</v>
      </c>
      <c r="F28" s="101">
        <v>39</v>
      </c>
      <c r="G28" s="101"/>
      <c r="H28" s="101"/>
      <c r="I28" s="101"/>
      <c r="J28" s="101"/>
      <c r="K28" s="101"/>
      <c r="L28" s="101"/>
      <c r="M28" s="101"/>
      <c r="N28" s="101"/>
      <c r="O28" s="100"/>
      <c r="P28" s="2"/>
      <c r="Q28" s="6">
        <f t="shared" si="10"/>
        <v>87</v>
      </c>
      <c r="R28" s="4"/>
      <c r="S28" s="17">
        <v>3045</v>
      </c>
      <c r="T28" s="49">
        <f t="shared" si="11"/>
        <v>3100</v>
      </c>
      <c r="U28" s="17"/>
      <c r="V28" s="61">
        <f t="shared" si="3"/>
        <v>0</v>
      </c>
      <c r="W28" s="61">
        <f t="shared" si="12"/>
        <v>0</v>
      </c>
      <c r="X28" s="7"/>
      <c r="Y28" s="5"/>
      <c r="Z28" s="100">
        <v>29</v>
      </c>
      <c r="AA28" s="100">
        <v>30</v>
      </c>
      <c r="AB28" s="100"/>
      <c r="AC28" s="100"/>
      <c r="AD28" s="100"/>
      <c r="AE28" s="100"/>
      <c r="AF28" s="100"/>
      <c r="AG28" s="100"/>
      <c r="AH28" s="100"/>
      <c r="AI28" s="102"/>
      <c r="AJ28" s="100"/>
      <c r="AK28" s="2"/>
      <c r="AL28" s="6">
        <f t="shared" si="4"/>
        <v>59</v>
      </c>
      <c r="AM28" s="101">
        <v>2</v>
      </c>
      <c r="AN28" s="101">
        <v>2</v>
      </c>
      <c r="AO28" s="101"/>
      <c r="AP28" s="101"/>
      <c r="AQ28" s="101"/>
      <c r="AR28" s="101"/>
      <c r="AS28" s="101"/>
      <c r="AT28" s="101"/>
      <c r="AU28" s="101"/>
      <c r="AV28" s="101"/>
      <c r="AW28" s="100"/>
      <c r="AX28" s="94"/>
      <c r="AY28" s="6">
        <f t="shared" si="5"/>
        <v>4</v>
      </c>
    </row>
    <row r="29" spans="1:51" s="65" customFormat="1" ht="15" thickBot="1">
      <c r="A29" s="1" t="s">
        <v>79</v>
      </c>
      <c r="B29" s="103" t="s">
        <v>83</v>
      </c>
      <c r="C29" s="63"/>
      <c r="D29" s="63"/>
      <c r="E29" s="101">
        <v>12</v>
      </c>
      <c r="F29" s="101">
        <v>6</v>
      </c>
      <c r="G29" s="101"/>
      <c r="H29" s="101"/>
      <c r="I29" s="101"/>
      <c r="J29" s="101"/>
      <c r="K29" s="101"/>
      <c r="L29" s="101"/>
      <c r="M29" s="101"/>
      <c r="N29" s="101"/>
      <c r="O29" s="100"/>
      <c r="P29" s="2"/>
      <c r="Q29" s="6">
        <f t="shared" si="10"/>
        <v>18</v>
      </c>
      <c r="R29" s="4"/>
      <c r="S29" s="17">
        <v>256</v>
      </c>
      <c r="T29" s="49">
        <f t="shared" si="11"/>
        <v>257</v>
      </c>
      <c r="U29" s="17"/>
      <c r="V29" s="61">
        <f t="shared" si="3"/>
        <v>0</v>
      </c>
      <c r="W29" s="61">
        <f t="shared" si="12"/>
        <v>0</v>
      </c>
      <c r="X29" s="7"/>
      <c r="Y29" s="5"/>
      <c r="Z29" s="100">
        <v>0</v>
      </c>
      <c r="AA29" s="100">
        <v>1</v>
      </c>
      <c r="AB29" s="100"/>
      <c r="AC29" s="100"/>
      <c r="AD29" s="100"/>
      <c r="AE29" s="100"/>
      <c r="AF29" s="100"/>
      <c r="AG29" s="100"/>
      <c r="AH29" s="100"/>
      <c r="AI29" s="102"/>
      <c r="AJ29" s="100"/>
      <c r="AK29" s="2"/>
      <c r="AL29" s="6">
        <f t="shared" si="4"/>
        <v>1</v>
      </c>
      <c r="AM29" s="101">
        <v>0</v>
      </c>
      <c r="AN29" s="101">
        <v>0</v>
      </c>
      <c r="AO29" s="101"/>
      <c r="AP29" s="101"/>
      <c r="AQ29" s="101"/>
      <c r="AR29" s="101"/>
      <c r="AS29" s="101"/>
      <c r="AT29" s="101"/>
      <c r="AU29" s="101"/>
      <c r="AV29" s="101"/>
      <c r="AW29" s="100"/>
      <c r="AX29" s="94"/>
      <c r="AY29" s="6">
        <f t="shared" si="5"/>
        <v>0</v>
      </c>
    </row>
    <row r="30" spans="1:51" s="65" customFormat="1" ht="15" thickBot="1">
      <c r="A30" s="1" t="s">
        <v>79</v>
      </c>
      <c r="B30" s="103" t="s">
        <v>84</v>
      </c>
      <c r="C30" s="63"/>
      <c r="D30" s="63"/>
      <c r="E30" s="101">
        <v>115</v>
      </c>
      <c r="F30" s="101">
        <v>106</v>
      </c>
      <c r="G30" s="101"/>
      <c r="H30" s="101"/>
      <c r="I30" s="101"/>
      <c r="J30" s="101"/>
      <c r="K30" s="101"/>
      <c r="L30" s="101"/>
      <c r="M30" s="101"/>
      <c r="N30" s="101"/>
      <c r="O30" s="100"/>
      <c r="P30" s="2"/>
      <c r="Q30" s="6">
        <f t="shared" si="10"/>
        <v>221</v>
      </c>
      <c r="R30" s="4"/>
      <c r="S30" s="17">
        <v>1421</v>
      </c>
      <c r="T30" s="49">
        <f t="shared" si="11"/>
        <v>1442</v>
      </c>
      <c r="U30" s="17"/>
      <c r="V30" s="61">
        <f t="shared" si="3"/>
        <v>0</v>
      </c>
      <c r="W30" s="61">
        <f t="shared" si="12"/>
        <v>0</v>
      </c>
      <c r="X30" s="7"/>
      <c r="Y30" s="5"/>
      <c r="Z30" s="100">
        <v>18</v>
      </c>
      <c r="AA30" s="100">
        <v>19</v>
      </c>
      <c r="AB30" s="100"/>
      <c r="AC30" s="100"/>
      <c r="AD30" s="100"/>
      <c r="AE30" s="100"/>
      <c r="AF30" s="100"/>
      <c r="AG30" s="100"/>
      <c r="AH30" s="100"/>
      <c r="AI30" s="102"/>
      <c r="AJ30" s="100"/>
      <c r="AK30" s="2"/>
      <c r="AL30" s="6">
        <f t="shared" si="4"/>
        <v>37</v>
      </c>
      <c r="AM30" s="101"/>
      <c r="AN30" s="101">
        <v>16</v>
      </c>
      <c r="AO30" s="101"/>
      <c r="AP30" s="101"/>
      <c r="AQ30" s="101"/>
      <c r="AR30" s="101"/>
      <c r="AS30" s="101"/>
      <c r="AT30" s="101"/>
      <c r="AU30" s="101"/>
      <c r="AV30" s="101"/>
      <c r="AW30" s="100"/>
      <c r="AX30" s="94"/>
      <c r="AY30" s="6">
        <f t="shared" si="5"/>
        <v>16</v>
      </c>
    </row>
    <row r="31" spans="1:51" s="65" customFormat="1" ht="15" thickBot="1">
      <c r="A31" s="1" t="s">
        <v>79</v>
      </c>
      <c r="B31" s="103" t="s">
        <v>85</v>
      </c>
      <c r="C31" s="63"/>
      <c r="D31" s="63"/>
      <c r="E31" s="101">
        <v>8</v>
      </c>
      <c r="F31" s="101">
        <v>2</v>
      </c>
      <c r="G31" s="101"/>
      <c r="H31" s="101"/>
      <c r="I31" s="101"/>
      <c r="J31" s="101"/>
      <c r="K31" s="101"/>
      <c r="L31" s="101"/>
      <c r="M31" s="101"/>
      <c r="N31" s="101"/>
      <c r="O31" s="100"/>
      <c r="P31" s="2"/>
      <c r="Q31" s="6">
        <f t="shared" si="10"/>
        <v>10</v>
      </c>
      <c r="R31" s="4"/>
      <c r="S31" s="17">
        <v>90</v>
      </c>
      <c r="T31" s="49">
        <f t="shared" si="11"/>
        <v>91</v>
      </c>
      <c r="U31" s="17"/>
      <c r="V31" s="61">
        <f t="shared" si="3"/>
        <v>0</v>
      </c>
      <c r="W31" s="61">
        <f t="shared" si="12"/>
        <v>0</v>
      </c>
      <c r="X31" s="7"/>
      <c r="Y31" s="5"/>
      <c r="Z31" s="100"/>
      <c r="AA31" s="100">
        <v>1</v>
      </c>
      <c r="AB31" s="100"/>
      <c r="AC31" s="100"/>
      <c r="AD31" s="100"/>
      <c r="AE31" s="100"/>
      <c r="AF31" s="100"/>
      <c r="AG31" s="100"/>
      <c r="AH31" s="100"/>
      <c r="AI31" s="102"/>
      <c r="AJ31" s="100"/>
      <c r="AK31" s="2"/>
      <c r="AL31" s="6">
        <f t="shared" si="4"/>
        <v>1</v>
      </c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0"/>
      <c r="AX31" s="94"/>
      <c r="AY31" s="6">
        <f t="shared" si="5"/>
        <v>0</v>
      </c>
    </row>
    <row r="32" spans="1:51" s="65" customFormat="1" ht="15" thickBot="1">
      <c r="A32" s="1" t="s">
        <v>79</v>
      </c>
      <c r="B32" s="103" t="s">
        <v>86</v>
      </c>
      <c r="C32" s="63"/>
      <c r="D32" s="63"/>
      <c r="E32" s="101">
        <v>2</v>
      </c>
      <c r="F32" s="101">
        <v>0</v>
      </c>
      <c r="G32" s="101"/>
      <c r="H32" s="101"/>
      <c r="I32" s="101"/>
      <c r="J32" s="101"/>
      <c r="K32" s="101"/>
      <c r="L32" s="101"/>
      <c r="M32" s="101"/>
      <c r="N32" s="101"/>
      <c r="O32" s="100"/>
      <c r="P32" s="2"/>
      <c r="Q32" s="6">
        <f t="shared" si="10"/>
        <v>2</v>
      </c>
      <c r="R32" s="4"/>
      <c r="S32" s="17">
        <v>83</v>
      </c>
      <c r="T32" s="49">
        <f t="shared" si="11"/>
        <v>85</v>
      </c>
      <c r="U32" s="17"/>
      <c r="V32" s="61">
        <f t="shared" si="3"/>
        <v>0</v>
      </c>
      <c r="W32" s="61">
        <f t="shared" si="12"/>
        <v>0</v>
      </c>
      <c r="X32" s="7"/>
      <c r="Y32" s="5"/>
      <c r="Z32" s="100">
        <v>1</v>
      </c>
      <c r="AA32" s="100">
        <v>1</v>
      </c>
      <c r="AB32" s="100"/>
      <c r="AC32" s="100"/>
      <c r="AD32" s="100"/>
      <c r="AE32" s="100"/>
      <c r="AF32" s="100"/>
      <c r="AG32" s="100"/>
      <c r="AH32" s="100"/>
      <c r="AI32" s="102"/>
      <c r="AJ32" s="100"/>
      <c r="AK32" s="2"/>
      <c r="AL32" s="6">
        <f t="shared" si="4"/>
        <v>2</v>
      </c>
      <c r="AM32" s="101">
        <v>0</v>
      </c>
      <c r="AN32" s="101"/>
      <c r="AO32" s="101"/>
      <c r="AP32" s="101"/>
      <c r="AQ32" s="101"/>
      <c r="AR32" s="101"/>
      <c r="AS32" s="101"/>
      <c r="AT32" s="101"/>
      <c r="AU32" s="101"/>
      <c r="AV32" s="101"/>
      <c r="AW32" s="100"/>
      <c r="AX32" s="94"/>
      <c r="AY32" s="6">
        <f t="shared" si="5"/>
        <v>0</v>
      </c>
    </row>
    <row r="33" spans="1:51" s="65" customFormat="1" ht="15" thickBot="1">
      <c r="A33" s="1" t="s">
        <v>79</v>
      </c>
      <c r="B33" s="103" t="s">
        <v>87</v>
      </c>
      <c r="C33" s="63"/>
      <c r="D33" s="63"/>
      <c r="E33" s="101">
        <v>13</v>
      </c>
      <c r="F33" s="101">
        <v>3</v>
      </c>
      <c r="G33" s="101"/>
      <c r="H33" s="101"/>
      <c r="I33" s="101"/>
      <c r="J33" s="101"/>
      <c r="K33" s="101"/>
      <c r="L33" s="101"/>
      <c r="M33" s="101"/>
      <c r="N33" s="101"/>
      <c r="O33" s="100"/>
      <c r="P33" s="2"/>
      <c r="Q33" s="6">
        <f t="shared" si="10"/>
        <v>16</v>
      </c>
      <c r="R33" s="4"/>
      <c r="S33" s="17">
        <v>206</v>
      </c>
      <c r="T33" s="49">
        <f t="shared" si="11"/>
        <v>216</v>
      </c>
      <c r="U33" s="17"/>
      <c r="V33" s="61">
        <f t="shared" si="3"/>
        <v>0</v>
      </c>
      <c r="W33" s="61">
        <f t="shared" si="12"/>
        <v>0</v>
      </c>
      <c r="X33" s="7"/>
      <c r="Y33" s="5"/>
      <c r="Z33" s="100">
        <v>7</v>
      </c>
      <c r="AA33" s="100">
        <v>3</v>
      </c>
      <c r="AB33" s="100"/>
      <c r="AC33" s="100"/>
      <c r="AD33" s="100"/>
      <c r="AE33" s="100"/>
      <c r="AF33" s="100"/>
      <c r="AG33" s="100"/>
      <c r="AH33" s="100"/>
      <c r="AI33" s="102"/>
      <c r="AJ33" s="100"/>
      <c r="AK33" s="2"/>
      <c r="AL33" s="6">
        <f t="shared" si="4"/>
        <v>10</v>
      </c>
      <c r="AM33" s="101">
        <v>0</v>
      </c>
      <c r="AN33" s="101"/>
      <c r="AO33" s="101"/>
      <c r="AP33" s="101"/>
      <c r="AQ33" s="101"/>
      <c r="AR33" s="101"/>
      <c r="AS33" s="101"/>
      <c r="AT33" s="101"/>
      <c r="AU33" s="101"/>
      <c r="AV33" s="101"/>
      <c r="AW33" s="100"/>
      <c r="AX33" s="94"/>
      <c r="AY33" s="6">
        <f t="shared" si="5"/>
        <v>0</v>
      </c>
    </row>
    <row r="34" spans="1:51" s="65" customFormat="1" ht="15" thickBot="1">
      <c r="A34" s="1" t="s">
        <v>79</v>
      </c>
      <c r="B34" s="103" t="s">
        <v>88</v>
      </c>
      <c r="C34" s="63"/>
      <c r="D34" s="63"/>
      <c r="E34" s="101">
        <v>1</v>
      </c>
      <c r="F34" s="101">
        <v>0</v>
      </c>
      <c r="G34" s="101"/>
      <c r="H34" s="101"/>
      <c r="I34" s="101"/>
      <c r="J34" s="101"/>
      <c r="K34" s="101"/>
      <c r="L34" s="101"/>
      <c r="M34" s="101"/>
      <c r="N34" s="101"/>
      <c r="O34" s="100"/>
      <c r="P34" s="2"/>
      <c r="Q34" s="6">
        <f t="shared" si="10"/>
        <v>1</v>
      </c>
      <c r="R34" s="4"/>
      <c r="S34" s="17">
        <v>27</v>
      </c>
      <c r="T34" s="49">
        <f t="shared" si="11"/>
        <v>27</v>
      </c>
      <c r="U34" s="17"/>
      <c r="V34" s="61">
        <f t="shared" si="3"/>
        <v>0</v>
      </c>
      <c r="W34" s="61">
        <f t="shared" si="12"/>
        <v>0</v>
      </c>
      <c r="X34" s="7"/>
      <c r="Y34" s="5"/>
      <c r="Z34" s="100"/>
      <c r="AA34" s="100">
        <v>0</v>
      </c>
      <c r="AB34" s="100"/>
      <c r="AC34" s="100"/>
      <c r="AD34" s="100"/>
      <c r="AE34" s="100"/>
      <c r="AF34" s="100"/>
      <c r="AG34" s="100"/>
      <c r="AH34" s="100"/>
      <c r="AI34" s="102"/>
      <c r="AJ34" s="100"/>
      <c r="AK34" s="2"/>
      <c r="AL34" s="6">
        <f t="shared" si="4"/>
        <v>0</v>
      </c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0"/>
      <c r="AX34" s="94"/>
      <c r="AY34" s="6">
        <f t="shared" si="5"/>
        <v>0</v>
      </c>
    </row>
    <row r="35" spans="1:51" s="65" customFormat="1" ht="15" thickBot="1">
      <c r="A35" s="1" t="s">
        <v>79</v>
      </c>
      <c r="B35" s="103" t="s">
        <v>89</v>
      </c>
      <c r="C35" s="63"/>
      <c r="D35" s="63"/>
      <c r="E35" s="101">
        <v>0</v>
      </c>
      <c r="F35" s="101">
        <v>4</v>
      </c>
      <c r="G35" s="101"/>
      <c r="H35" s="101"/>
      <c r="I35" s="101"/>
      <c r="J35" s="101"/>
      <c r="K35" s="101"/>
      <c r="L35" s="101"/>
      <c r="M35" s="101"/>
      <c r="N35" s="101"/>
      <c r="O35" s="100"/>
      <c r="P35" s="2"/>
      <c r="Q35" s="6">
        <f>SUM(E35:P35)</f>
        <v>4</v>
      </c>
      <c r="R35" s="4"/>
      <c r="S35" s="17">
        <v>94</v>
      </c>
      <c r="T35" s="49">
        <f t="shared" si="11"/>
        <v>101</v>
      </c>
      <c r="U35" s="17"/>
      <c r="V35" s="61">
        <f t="shared" si="3"/>
        <v>0</v>
      </c>
      <c r="W35" s="61">
        <f t="shared" si="12"/>
        <v>0</v>
      </c>
      <c r="X35" s="7"/>
      <c r="Y35" s="5"/>
      <c r="Z35" s="100">
        <v>3</v>
      </c>
      <c r="AA35" s="100">
        <v>4</v>
      </c>
      <c r="AB35" s="100"/>
      <c r="AC35" s="100"/>
      <c r="AD35" s="100"/>
      <c r="AE35" s="100"/>
      <c r="AF35" s="100"/>
      <c r="AG35" s="100"/>
      <c r="AH35" s="100"/>
      <c r="AI35" s="102"/>
      <c r="AJ35" s="100"/>
      <c r="AK35" s="2"/>
      <c r="AL35" s="6">
        <f>SUM(Z35:AK35)</f>
        <v>7</v>
      </c>
      <c r="AM35" s="101">
        <v>0</v>
      </c>
      <c r="AN35" s="101"/>
      <c r="AO35" s="101"/>
      <c r="AP35" s="101"/>
      <c r="AQ35" s="101"/>
      <c r="AR35" s="101"/>
      <c r="AS35" s="101"/>
      <c r="AT35" s="101"/>
      <c r="AU35" s="101"/>
      <c r="AV35" s="101"/>
      <c r="AW35" s="100"/>
      <c r="AX35" s="2"/>
      <c r="AY35" s="6">
        <f t="shared" si="5"/>
        <v>0</v>
      </c>
    </row>
    <row r="36" spans="1:51" s="65" customFormat="1" ht="15" thickBot="1">
      <c r="A36" s="196" t="s">
        <v>201</v>
      </c>
      <c r="B36" s="197"/>
      <c r="C36" s="45">
        <f>+D36/Metas!H28</f>
        <v>1.5374528024599243</v>
      </c>
      <c r="D36" s="19">
        <f>+Q36/R36</f>
        <v>0.04151122566641796</v>
      </c>
      <c r="E36" s="14">
        <f aca="true" t="shared" si="13" ref="E36:Q36">SUM(E26:E35)</f>
        <v>326</v>
      </c>
      <c r="F36" s="14">
        <f t="shared" si="13"/>
        <v>286</v>
      </c>
      <c r="G36" s="14">
        <f t="shared" si="13"/>
        <v>0</v>
      </c>
      <c r="H36" s="14">
        <f t="shared" si="13"/>
        <v>0</v>
      </c>
      <c r="I36" s="14">
        <f t="shared" si="13"/>
        <v>0</v>
      </c>
      <c r="J36" s="14">
        <f t="shared" si="13"/>
        <v>0</v>
      </c>
      <c r="K36" s="14">
        <f t="shared" si="13"/>
        <v>0</v>
      </c>
      <c r="L36" s="14">
        <f t="shared" si="13"/>
        <v>0</v>
      </c>
      <c r="M36" s="14">
        <f t="shared" si="13"/>
        <v>0</v>
      </c>
      <c r="N36" s="14">
        <f t="shared" si="13"/>
        <v>0</v>
      </c>
      <c r="O36" s="14">
        <f t="shared" si="13"/>
        <v>0</v>
      </c>
      <c r="P36" s="14">
        <f t="shared" si="13"/>
        <v>0</v>
      </c>
      <c r="Q36" s="14">
        <f t="shared" si="13"/>
        <v>612</v>
      </c>
      <c r="R36" s="15">
        <f>+Y36-T36</f>
        <v>14743</v>
      </c>
      <c r="S36" s="14">
        <f aca="true" t="shared" si="14" ref="S36:X36">SUM(S26:S35)</f>
        <v>7188</v>
      </c>
      <c r="T36" s="14">
        <f t="shared" si="14"/>
        <v>7351</v>
      </c>
      <c r="U36" s="14">
        <f t="shared" si="14"/>
        <v>0</v>
      </c>
      <c r="V36" s="13">
        <f t="shared" si="14"/>
        <v>0</v>
      </c>
      <c r="W36" s="46">
        <f t="shared" si="14"/>
        <v>0</v>
      </c>
      <c r="X36" s="46">
        <f t="shared" si="14"/>
        <v>0</v>
      </c>
      <c r="Y36" s="16">
        <v>22094</v>
      </c>
      <c r="Z36" s="13">
        <f aca="true" t="shared" si="15" ref="Z36:AK36">SUM(Z26:Z35)</f>
        <v>85</v>
      </c>
      <c r="AA36" s="13">
        <f t="shared" si="15"/>
        <v>98</v>
      </c>
      <c r="AB36" s="13">
        <f t="shared" si="15"/>
        <v>0</v>
      </c>
      <c r="AC36" s="13">
        <f t="shared" si="15"/>
        <v>0</v>
      </c>
      <c r="AD36" s="13">
        <f t="shared" si="15"/>
        <v>0</v>
      </c>
      <c r="AE36" s="13">
        <f t="shared" si="15"/>
        <v>0</v>
      </c>
      <c r="AF36" s="13">
        <f t="shared" si="15"/>
        <v>0</v>
      </c>
      <c r="AG36" s="13">
        <f t="shared" si="15"/>
        <v>0</v>
      </c>
      <c r="AH36" s="13">
        <f t="shared" si="15"/>
        <v>0</v>
      </c>
      <c r="AI36" s="13">
        <f t="shared" si="15"/>
        <v>0</v>
      </c>
      <c r="AJ36" s="13">
        <f t="shared" si="15"/>
        <v>0</v>
      </c>
      <c r="AK36" s="13">
        <f t="shared" si="15"/>
        <v>0</v>
      </c>
      <c r="AL36" s="13">
        <f t="shared" si="4"/>
        <v>183</v>
      </c>
      <c r="AM36" s="13">
        <f aca="true" t="shared" si="16" ref="AM36:AX36">SUM(AM26:AM35)</f>
        <v>2</v>
      </c>
      <c r="AN36" s="13">
        <f t="shared" si="16"/>
        <v>18</v>
      </c>
      <c r="AO36" s="13">
        <f t="shared" si="16"/>
        <v>0</v>
      </c>
      <c r="AP36" s="13">
        <f t="shared" si="16"/>
        <v>0</v>
      </c>
      <c r="AQ36" s="13">
        <f t="shared" si="16"/>
        <v>0</v>
      </c>
      <c r="AR36" s="13">
        <f t="shared" si="16"/>
        <v>0</v>
      </c>
      <c r="AS36" s="13">
        <f t="shared" si="16"/>
        <v>0</v>
      </c>
      <c r="AT36" s="13">
        <f t="shared" si="16"/>
        <v>0</v>
      </c>
      <c r="AU36" s="13">
        <f t="shared" si="16"/>
        <v>0</v>
      </c>
      <c r="AV36" s="13">
        <f t="shared" si="16"/>
        <v>0</v>
      </c>
      <c r="AW36" s="13">
        <f t="shared" si="16"/>
        <v>0</v>
      </c>
      <c r="AX36" s="13">
        <f t="shared" si="16"/>
        <v>0</v>
      </c>
      <c r="AY36" s="13">
        <f t="shared" si="5"/>
        <v>20</v>
      </c>
    </row>
    <row r="37" spans="1:51" s="65" customFormat="1" ht="15" thickBot="1">
      <c r="A37" s="1" t="s">
        <v>100</v>
      </c>
      <c r="B37" s="103" t="s">
        <v>90</v>
      </c>
      <c r="C37" s="63"/>
      <c r="D37" s="63"/>
      <c r="E37" s="101">
        <v>7</v>
      </c>
      <c r="F37" s="101">
        <v>6</v>
      </c>
      <c r="G37" s="101"/>
      <c r="H37" s="101"/>
      <c r="I37" s="101"/>
      <c r="J37" s="101"/>
      <c r="K37" s="101"/>
      <c r="L37" s="101"/>
      <c r="M37" s="101"/>
      <c r="N37" s="101"/>
      <c r="O37" s="100"/>
      <c r="P37" s="2"/>
      <c r="Q37" s="6">
        <f aca="true" t="shared" si="17" ref="Q37:Q46">SUM(E37:P37)</f>
        <v>13</v>
      </c>
      <c r="R37" s="4"/>
      <c r="S37" s="17">
        <v>88</v>
      </c>
      <c r="T37" s="49">
        <f t="shared" si="11"/>
        <v>88</v>
      </c>
      <c r="U37" s="17"/>
      <c r="V37" s="61">
        <f t="shared" si="3"/>
        <v>0</v>
      </c>
      <c r="W37" s="61">
        <f aca="true" t="shared" si="18" ref="W37:W46">+U37+(AF37+AG37+AH37+AI37)-(AS37+AT37+AU37+AV37)</f>
        <v>0</v>
      </c>
      <c r="X37" s="7"/>
      <c r="Y37" s="5"/>
      <c r="Z37" s="101"/>
      <c r="AA37" s="101"/>
      <c r="AB37" s="101"/>
      <c r="AC37" s="101"/>
      <c r="AD37" s="101"/>
      <c r="AE37" s="101"/>
      <c r="AF37" s="101"/>
      <c r="AG37" s="100"/>
      <c r="AH37" s="100"/>
      <c r="AI37" s="102"/>
      <c r="AJ37" s="100"/>
      <c r="AK37" s="100"/>
      <c r="AL37" s="6">
        <f t="shared" si="4"/>
        <v>0</v>
      </c>
      <c r="AM37" s="101"/>
      <c r="AN37" s="101">
        <v>0</v>
      </c>
      <c r="AO37" s="101"/>
      <c r="AP37" s="101"/>
      <c r="AQ37" s="101"/>
      <c r="AR37" s="101"/>
      <c r="AS37" s="101"/>
      <c r="AT37" s="100"/>
      <c r="AU37" s="100"/>
      <c r="AV37" s="100"/>
      <c r="AW37" s="100"/>
      <c r="AX37" s="100"/>
      <c r="AY37" s="6">
        <f t="shared" si="5"/>
        <v>0</v>
      </c>
    </row>
    <row r="38" spans="1:51" s="65" customFormat="1" ht="15" thickBot="1">
      <c r="A38" s="1" t="s">
        <v>100</v>
      </c>
      <c r="B38" s="103" t="s">
        <v>91</v>
      </c>
      <c r="C38" s="63"/>
      <c r="D38" s="63"/>
      <c r="E38" s="101">
        <v>0</v>
      </c>
      <c r="F38" s="101">
        <v>0</v>
      </c>
      <c r="G38" s="101"/>
      <c r="H38" s="101"/>
      <c r="I38" s="101"/>
      <c r="J38" s="101"/>
      <c r="K38" s="101"/>
      <c r="L38" s="101"/>
      <c r="M38" s="101"/>
      <c r="N38" s="101"/>
      <c r="O38" s="100"/>
      <c r="P38" s="2"/>
      <c r="Q38" s="6">
        <f t="shared" si="17"/>
        <v>0</v>
      </c>
      <c r="R38" s="4"/>
      <c r="S38" s="17">
        <v>30</v>
      </c>
      <c r="T38" s="49">
        <f t="shared" si="11"/>
        <v>30</v>
      </c>
      <c r="U38" s="17"/>
      <c r="V38" s="61">
        <f t="shared" si="3"/>
        <v>0</v>
      </c>
      <c r="W38" s="61">
        <f t="shared" si="18"/>
        <v>0</v>
      </c>
      <c r="X38" s="7"/>
      <c r="Y38" s="5"/>
      <c r="Z38" s="101"/>
      <c r="AA38" s="101"/>
      <c r="AB38" s="101"/>
      <c r="AC38" s="101"/>
      <c r="AD38" s="101"/>
      <c r="AE38" s="101"/>
      <c r="AF38" s="101"/>
      <c r="AG38" s="100"/>
      <c r="AH38" s="100"/>
      <c r="AI38" s="102"/>
      <c r="AJ38" s="100"/>
      <c r="AK38" s="100"/>
      <c r="AL38" s="6">
        <f t="shared" si="4"/>
        <v>0</v>
      </c>
      <c r="AM38" s="101"/>
      <c r="AN38" s="101"/>
      <c r="AO38" s="101"/>
      <c r="AP38" s="101"/>
      <c r="AQ38" s="101"/>
      <c r="AR38" s="101"/>
      <c r="AS38" s="101"/>
      <c r="AT38" s="100"/>
      <c r="AU38" s="100"/>
      <c r="AV38" s="100"/>
      <c r="AW38" s="100"/>
      <c r="AX38" s="100"/>
      <c r="AY38" s="6">
        <f t="shared" si="5"/>
        <v>0</v>
      </c>
    </row>
    <row r="39" spans="1:51" s="65" customFormat="1" ht="15" thickBot="1">
      <c r="A39" s="1" t="s">
        <v>100</v>
      </c>
      <c r="B39" s="103" t="s">
        <v>92</v>
      </c>
      <c r="C39" s="63"/>
      <c r="D39" s="63"/>
      <c r="E39" s="101">
        <v>0</v>
      </c>
      <c r="F39" s="101">
        <v>1</v>
      </c>
      <c r="G39" s="101"/>
      <c r="H39" s="101"/>
      <c r="I39" s="101"/>
      <c r="J39" s="101"/>
      <c r="K39" s="101"/>
      <c r="L39" s="101"/>
      <c r="M39" s="101"/>
      <c r="N39" s="101"/>
      <c r="O39" s="100"/>
      <c r="P39" s="2"/>
      <c r="Q39" s="6">
        <f t="shared" si="17"/>
        <v>1</v>
      </c>
      <c r="R39" s="4"/>
      <c r="S39" s="17">
        <v>70</v>
      </c>
      <c r="T39" s="49">
        <f t="shared" si="11"/>
        <v>70</v>
      </c>
      <c r="U39" s="17"/>
      <c r="V39" s="61">
        <f t="shared" si="3"/>
        <v>0</v>
      </c>
      <c r="W39" s="61">
        <f t="shared" si="18"/>
        <v>0</v>
      </c>
      <c r="X39" s="7"/>
      <c r="Y39" s="5"/>
      <c r="Z39" s="101"/>
      <c r="AA39" s="101"/>
      <c r="AB39" s="101"/>
      <c r="AC39" s="101"/>
      <c r="AD39" s="101"/>
      <c r="AE39" s="101"/>
      <c r="AF39" s="101"/>
      <c r="AG39" s="100"/>
      <c r="AH39" s="100"/>
      <c r="AI39" s="102"/>
      <c r="AJ39" s="100"/>
      <c r="AK39" s="100"/>
      <c r="AL39" s="6">
        <f t="shared" si="4"/>
        <v>0</v>
      </c>
      <c r="AM39" s="101"/>
      <c r="AN39" s="101"/>
      <c r="AO39" s="101"/>
      <c r="AP39" s="101"/>
      <c r="AQ39" s="101"/>
      <c r="AR39" s="101"/>
      <c r="AS39" s="101"/>
      <c r="AT39" s="100"/>
      <c r="AU39" s="100"/>
      <c r="AV39" s="100"/>
      <c r="AW39" s="100"/>
      <c r="AX39" s="100"/>
      <c r="AY39" s="6">
        <f t="shared" si="5"/>
        <v>0</v>
      </c>
    </row>
    <row r="40" spans="1:51" s="65" customFormat="1" ht="15" thickBot="1">
      <c r="A40" s="1" t="s">
        <v>100</v>
      </c>
      <c r="B40" s="103" t="s">
        <v>93</v>
      </c>
      <c r="C40" s="63"/>
      <c r="D40" s="63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0"/>
      <c r="P40" s="2"/>
      <c r="Q40" s="6">
        <f t="shared" si="17"/>
        <v>0</v>
      </c>
      <c r="R40" s="4"/>
      <c r="S40" s="17">
        <v>3</v>
      </c>
      <c r="T40" s="49">
        <f t="shared" si="11"/>
        <v>3</v>
      </c>
      <c r="U40" s="17"/>
      <c r="V40" s="61">
        <f t="shared" si="3"/>
        <v>0</v>
      </c>
      <c r="W40" s="61">
        <f t="shared" si="18"/>
        <v>0</v>
      </c>
      <c r="X40" s="7"/>
      <c r="Y40" s="5"/>
      <c r="Z40" s="101"/>
      <c r="AA40" s="101"/>
      <c r="AB40" s="101"/>
      <c r="AC40" s="101"/>
      <c r="AD40" s="101"/>
      <c r="AE40" s="101"/>
      <c r="AF40" s="101"/>
      <c r="AG40" s="100"/>
      <c r="AH40" s="100"/>
      <c r="AI40" s="102"/>
      <c r="AJ40" s="100"/>
      <c r="AK40" s="100"/>
      <c r="AL40" s="6">
        <f t="shared" si="4"/>
        <v>0</v>
      </c>
      <c r="AM40" s="101"/>
      <c r="AN40" s="101"/>
      <c r="AO40" s="101"/>
      <c r="AP40" s="101"/>
      <c r="AQ40" s="101"/>
      <c r="AR40" s="101"/>
      <c r="AS40" s="101"/>
      <c r="AT40" s="100"/>
      <c r="AU40" s="100"/>
      <c r="AV40" s="100"/>
      <c r="AW40" s="100"/>
      <c r="AX40" s="100"/>
      <c r="AY40" s="6">
        <f t="shared" si="5"/>
        <v>0</v>
      </c>
    </row>
    <row r="41" spans="1:51" s="65" customFormat="1" ht="15" thickBot="1">
      <c r="A41" s="1" t="s">
        <v>100</v>
      </c>
      <c r="B41" s="103" t="s">
        <v>94</v>
      </c>
      <c r="C41" s="63"/>
      <c r="D41" s="63"/>
      <c r="E41" s="101">
        <v>0</v>
      </c>
      <c r="F41" s="101">
        <v>0</v>
      </c>
      <c r="G41" s="101"/>
      <c r="H41" s="101"/>
      <c r="I41" s="101"/>
      <c r="J41" s="101"/>
      <c r="K41" s="101"/>
      <c r="L41" s="101"/>
      <c r="M41" s="101"/>
      <c r="N41" s="101"/>
      <c r="O41" s="100"/>
      <c r="P41" s="2"/>
      <c r="Q41" s="6">
        <f t="shared" si="17"/>
        <v>0</v>
      </c>
      <c r="R41" s="4"/>
      <c r="S41" s="17">
        <v>90</v>
      </c>
      <c r="T41" s="49">
        <f t="shared" si="11"/>
        <v>91</v>
      </c>
      <c r="U41" s="17"/>
      <c r="V41" s="61">
        <f t="shared" si="3"/>
        <v>0</v>
      </c>
      <c r="W41" s="61">
        <f t="shared" si="18"/>
        <v>0</v>
      </c>
      <c r="X41" s="7"/>
      <c r="Y41" s="5"/>
      <c r="Z41" s="101">
        <v>1</v>
      </c>
      <c r="AA41" s="101"/>
      <c r="AB41" s="101"/>
      <c r="AC41" s="101"/>
      <c r="AD41" s="101"/>
      <c r="AE41" s="101"/>
      <c r="AF41" s="101"/>
      <c r="AG41" s="100"/>
      <c r="AH41" s="100"/>
      <c r="AI41" s="102"/>
      <c r="AJ41" s="100"/>
      <c r="AK41" s="100"/>
      <c r="AL41" s="6">
        <f t="shared" si="4"/>
        <v>1</v>
      </c>
      <c r="AM41" s="101"/>
      <c r="AN41" s="101"/>
      <c r="AO41" s="101"/>
      <c r="AP41" s="101"/>
      <c r="AQ41" s="101"/>
      <c r="AR41" s="101"/>
      <c r="AS41" s="101"/>
      <c r="AT41" s="100"/>
      <c r="AU41" s="100"/>
      <c r="AV41" s="100"/>
      <c r="AW41" s="100"/>
      <c r="AX41" s="100"/>
      <c r="AY41" s="6">
        <f t="shared" si="5"/>
        <v>0</v>
      </c>
    </row>
    <row r="42" spans="1:51" s="65" customFormat="1" ht="15" thickBot="1">
      <c r="A42" s="1" t="s">
        <v>100</v>
      </c>
      <c r="B42" s="103" t="s">
        <v>95</v>
      </c>
      <c r="C42" s="63"/>
      <c r="D42" s="63"/>
      <c r="E42" s="101">
        <v>8</v>
      </c>
      <c r="F42" s="101">
        <v>7</v>
      </c>
      <c r="G42" s="101"/>
      <c r="H42" s="101"/>
      <c r="I42" s="101"/>
      <c r="J42" s="101"/>
      <c r="K42" s="101"/>
      <c r="L42" s="101"/>
      <c r="M42" s="101"/>
      <c r="N42" s="101"/>
      <c r="O42" s="100"/>
      <c r="P42" s="2"/>
      <c r="Q42" s="6">
        <f t="shared" si="17"/>
        <v>15</v>
      </c>
      <c r="R42" s="4"/>
      <c r="S42" s="17">
        <v>57</v>
      </c>
      <c r="T42" s="49">
        <f t="shared" si="11"/>
        <v>57</v>
      </c>
      <c r="U42" s="17"/>
      <c r="V42" s="61">
        <f t="shared" si="3"/>
        <v>0</v>
      </c>
      <c r="W42" s="61">
        <f t="shared" si="18"/>
        <v>0</v>
      </c>
      <c r="X42" s="7"/>
      <c r="Y42" s="5"/>
      <c r="Z42" s="101">
        <v>0</v>
      </c>
      <c r="AA42" s="101"/>
      <c r="AB42" s="101"/>
      <c r="AC42" s="101"/>
      <c r="AD42" s="101"/>
      <c r="AE42" s="101"/>
      <c r="AF42" s="101"/>
      <c r="AG42" s="100"/>
      <c r="AH42" s="100"/>
      <c r="AI42" s="102"/>
      <c r="AJ42" s="100"/>
      <c r="AK42" s="100"/>
      <c r="AL42" s="6">
        <f t="shared" si="4"/>
        <v>0</v>
      </c>
      <c r="AM42" s="101"/>
      <c r="AN42" s="101"/>
      <c r="AO42" s="101"/>
      <c r="AP42" s="101"/>
      <c r="AQ42" s="101"/>
      <c r="AR42" s="101"/>
      <c r="AS42" s="101"/>
      <c r="AT42" s="100"/>
      <c r="AU42" s="100"/>
      <c r="AV42" s="100"/>
      <c r="AW42" s="100"/>
      <c r="AX42" s="100"/>
      <c r="AY42" s="6">
        <f t="shared" si="5"/>
        <v>0</v>
      </c>
    </row>
    <row r="43" spans="1:51" s="65" customFormat="1" ht="15" thickBot="1">
      <c r="A43" s="1" t="s">
        <v>100</v>
      </c>
      <c r="B43" s="103" t="s">
        <v>96</v>
      </c>
      <c r="C43" s="63"/>
      <c r="D43" s="63"/>
      <c r="E43" s="101">
        <v>0</v>
      </c>
      <c r="F43" s="101">
        <v>0</v>
      </c>
      <c r="G43" s="101"/>
      <c r="H43" s="101"/>
      <c r="I43" s="101"/>
      <c r="J43" s="101"/>
      <c r="K43" s="101"/>
      <c r="L43" s="101"/>
      <c r="M43" s="101"/>
      <c r="N43" s="101"/>
      <c r="O43" s="100"/>
      <c r="P43" s="2"/>
      <c r="Q43" s="6">
        <f t="shared" si="17"/>
        <v>0</v>
      </c>
      <c r="R43" s="4"/>
      <c r="S43" s="17">
        <v>52</v>
      </c>
      <c r="T43" s="49">
        <f t="shared" si="11"/>
        <v>52</v>
      </c>
      <c r="U43" s="17"/>
      <c r="V43" s="61">
        <f t="shared" si="3"/>
        <v>0</v>
      </c>
      <c r="W43" s="61">
        <f t="shared" si="18"/>
        <v>0</v>
      </c>
      <c r="X43" s="7"/>
      <c r="Y43" s="5"/>
      <c r="Z43" s="101"/>
      <c r="AA43" s="101"/>
      <c r="AB43" s="101"/>
      <c r="AC43" s="101"/>
      <c r="AD43" s="101"/>
      <c r="AE43" s="101"/>
      <c r="AF43" s="101"/>
      <c r="AG43" s="100"/>
      <c r="AH43" s="100"/>
      <c r="AI43" s="102"/>
      <c r="AJ43" s="100"/>
      <c r="AK43" s="100"/>
      <c r="AL43" s="6">
        <f t="shared" si="4"/>
        <v>0</v>
      </c>
      <c r="AM43" s="101"/>
      <c r="AN43" s="101"/>
      <c r="AO43" s="101"/>
      <c r="AP43" s="101"/>
      <c r="AQ43" s="101"/>
      <c r="AR43" s="101"/>
      <c r="AS43" s="101"/>
      <c r="AT43" s="100"/>
      <c r="AU43" s="100"/>
      <c r="AV43" s="100"/>
      <c r="AW43" s="100"/>
      <c r="AX43" s="100"/>
      <c r="AY43" s="6">
        <f t="shared" si="5"/>
        <v>0</v>
      </c>
    </row>
    <row r="44" spans="1:51" s="65" customFormat="1" ht="15" thickBot="1">
      <c r="A44" s="1" t="s">
        <v>100</v>
      </c>
      <c r="B44" s="103" t="s">
        <v>97</v>
      </c>
      <c r="C44" s="63"/>
      <c r="D44" s="63"/>
      <c r="E44" s="101">
        <v>0</v>
      </c>
      <c r="F44" s="101"/>
      <c r="G44" s="101"/>
      <c r="H44" s="101"/>
      <c r="I44" s="101"/>
      <c r="J44" s="101"/>
      <c r="K44" s="101"/>
      <c r="L44" s="101"/>
      <c r="M44" s="101"/>
      <c r="N44" s="101"/>
      <c r="O44" s="100"/>
      <c r="P44" s="2"/>
      <c r="Q44" s="6">
        <f t="shared" si="17"/>
        <v>0</v>
      </c>
      <c r="R44" s="4"/>
      <c r="S44" s="17">
        <v>19</v>
      </c>
      <c r="T44" s="49">
        <f t="shared" si="11"/>
        <v>19</v>
      </c>
      <c r="U44" s="17"/>
      <c r="V44" s="61">
        <f t="shared" si="3"/>
        <v>0</v>
      </c>
      <c r="W44" s="61">
        <f t="shared" si="18"/>
        <v>0</v>
      </c>
      <c r="X44" s="7"/>
      <c r="Y44" s="5"/>
      <c r="Z44" s="101"/>
      <c r="AA44" s="101"/>
      <c r="AB44" s="101"/>
      <c r="AC44" s="101"/>
      <c r="AD44" s="101"/>
      <c r="AE44" s="101"/>
      <c r="AF44" s="101"/>
      <c r="AG44" s="100"/>
      <c r="AH44" s="100"/>
      <c r="AI44" s="102"/>
      <c r="AJ44" s="100"/>
      <c r="AK44" s="100"/>
      <c r="AL44" s="6">
        <f t="shared" si="4"/>
        <v>0</v>
      </c>
      <c r="AM44" s="101"/>
      <c r="AN44" s="101"/>
      <c r="AO44" s="101"/>
      <c r="AP44" s="101"/>
      <c r="AQ44" s="101"/>
      <c r="AR44" s="101"/>
      <c r="AS44" s="101"/>
      <c r="AT44" s="100"/>
      <c r="AU44" s="100"/>
      <c r="AV44" s="100"/>
      <c r="AW44" s="100"/>
      <c r="AX44" s="100"/>
      <c r="AY44" s="6">
        <f t="shared" si="5"/>
        <v>0</v>
      </c>
    </row>
    <row r="45" spans="1:51" s="65" customFormat="1" ht="15" thickBot="1">
      <c r="A45" s="1" t="s">
        <v>100</v>
      </c>
      <c r="B45" s="103" t="s">
        <v>98</v>
      </c>
      <c r="C45" s="63"/>
      <c r="D45" s="63"/>
      <c r="E45" s="101">
        <v>0</v>
      </c>
      <c r="F45" s="101">
        <v>0</v>
      </c>
      <c r="G45" s="101"/>
      <c r="H45" s="101"/>
      <c r="I45" s="101"/>
      <c r="J45" s="101"/>
      <c r="K45" s="101"/>
      <c r="L45" s="101"/>
      <c r="M45" s="101"/>
      <c r="N45" s="101"/>
      <c r="O45" s="100"/>
      <c r="P45" s="2"/>
      <c r="Q45" s="6">
        <f t="shared" si="17"/>
        <v>0</v>
      </c>
      <c r="R45" s="4"/>
      <c r="S45" s="17">
        <v>116</v>
      </c>
      <c r="T45" s="49">
        <f t="shared" si="11"/>
        <v>119</v>
      </c>
      <c r="U45" s="17"/>
      <c r="V45" s="61">
        <f t="shared" si="3"/>
        <v>0</v>
      </c>
      <c r="W45" s="61">
        <f t="shared" si="18"/>
        <v>0</v>
      </c>
      <c r="X45" s="7"/>
      <c r="Y45" s="5"/>
      <c r="Z45" s="101">
        <v>1</v>
      </c>
      <c r="AA45" s="101">
        <v>2</v>
      </c>
      <c r="AB45" s="101"/>
      <c r="AC45" s="101"/>
      <c r="AD45" s="101"/>
      <c r="AE45" s="101"/>
      <c r="AF45" s="101"/>
      <c r="AG45" s="100"/>
      <c r="AH45" s="100"/>
      <c r="AI45" s="102"/>
      <c r="AJ45" s="100"/>
      <c r="AK45" s="100"/>
      <c r="AL45" s="6">
        <f t="shared" si="4"/>
        <v>3</v>
      </c>
      <c r="AM45" s="101"/>
      <c r="AN45" s="101"/>
      <c r="AO45" s="101"/>
      <c r="AP45" s="101"/>
      <c r="AQ45" s="101"/>
      <c r="AR45" s="101"/>
      <c r="AS45" s="101"/>
      <c r="AT45" s="100"/>
      <c r="AU45" s="100"/>
      <c r="AV45" s="100"/>
      <c r="AW45" s="100"/>
      <c r="AX45" s="100"/>
      <c r="AY45" s="6">
        <f t="shared" si="5"/>
        <v>0</v>
      </c>
    </row>
    <row r="46" spans="1:51" s="65" customFormat="1" ht="15" thickBot="1">
      <c r="A46" s="1" t="s">
        <v>100</v>
      </c>
      <c r="B46" s="103" t="s">
        <v>99</v>
      </c>
      <c r="C46" s="63"/>
      <c r="D46" s="63"/>
      <c r="E46" s="101">
        <v>0</v>
      </c>
      <c r="F46" s="101">
        <v>0</v>
      </c>
      <c r="G46" s="101"/>
      <c r="H46" s="101"/>
      <c r="I46" s="101"/>
      <c r="J46" s="101"/>
      <c r="K46" s="101"/>
      <c r="L46" s="101"/>
      <c r="M46" s="101"/>
      <c r="N46" s="101"/>
      <c r="O46" s="100"/>
      <c r="P46" s="2"/>
      <c r="Q46" s="6">
        <f t="shared" si="17"/>
        <v>0</v>
      </c>
      <c r="R46" s="4"/>
      <c r="S46" s="17">
        <v>19</v>
      </c>
      <c r="T46" s="49">
        <f t="shared" si="11"/>
        <v>19</v>
      </c>
      <c r="U46" s="17"/>
      <c r="V46" s="61">
        <f t="shared" si="3"/>
        <v>0</v>
      </c>
      <c r="W46" s="61">
        <f t="shared" si="18"/>
        <v>0</v>
      </c>
      <c r="X46" s="7"/>
      <c r="Y46" s="5"/>
      <c r="Z46" s="101"/>
      <c r="AA46" s="101"/>
      <c r="AB46" s="101"/>
      <c r="AC46" s="101"/>
      <c r="AD46" s="101"/>
      <c r="AE46" s="101"/>
      <c r="AF46" s="101"/>
      <c r="AG46" s="100"/>
      <c r="AH46" s="100"/>
      <c r="AI46" s="102"/>
      <c r="AJ46" s="100"/>
      <c r="AK46" s="100"/>
      <c r="AL46" s="6">
        <f t="shared" si="4"/>
        <v>0</v>
      </c>
      <c r="AM46" s="101"/>
      <c r="AN46" s="101"/>
      <c r="AO46" s="101"/>
      <c r="AP46" s="101"/>
      <c r="AQ46" s="101"/>
      <c r="AR46" s="101"/>
      <c r="AS46" s="101"/>
      <c r="AT46" s="100"/>
      <c r="AU46" s="100"/>
      <c r="AV46" s="100"/>
      <c r="AW46" s="100"/>
      <c r="AX46" s="100"/>
      <c r="AY46" s="6">
        <f t="shared" si="5"/>
        <v>0</v>
      </c>
    </row>
    <row r="47" spans="1:51" s="65" customFormat="1" ht="15" thickBot="1">
      <c r="A47" s="196" t="s">
        <v>202</v>
      </c>
      <c r="B47" s="197"/>
      <c r="C47" s="45">
        <f>+D47/Metas!H37</f>
        <v>1.0675108591621878</v>
      </c>
      <c r="D47" s="19">
        <f>+Q47/R47</f>
        <v>0.03629536921151439</v>
      </c>
      <c r="E47" s="14">
        <f>SUM(E37:E46)</f>
        <v>15</v>
      </c>
      <c r="F47" s="14">
        <f aca="true" t="shared" si="19" ref="F47:P47">SUM(F37:F46)</f>
        <v>14</v>
      </c>
      <c r="G47" s="14">
        <f t="shared" si="19"/>
        <v>0</v>
      </c>
      <c r="H47" s="14">
        <f t="shared" si="19"/>
        <v>0</v>
      </c>
      <c r="I47" s="14">
        <f t="shared" si="19"/>
        <v>0</v>
      </c>
      <c r="J47" s="14">
        <f t="shared" si="19"/>
        <v>0</v>
      </c>
      <c r="K47" s="14">
        <f t="shared" si="19"/>
        <v>0</v>
      </c>
      <c r="L47" s="14">
        <f t="shared" si="19"/>
        <v>0</v>
      </c>
      <c r="M47" s="14">
        <f t="shared" si="19"/>
        <v>0</v>
      </c>
      <c r="N47" s="14">
        <f t="shared" si="19"/>
        <v>0</v>
      </c>
      <c r="O47" s="14">
        <f t="shared" si="19"/>
        <v>0</v>
      </c>
      <c r="P47" s="14">
        <f t="shared" si="19"/>
        <v>0</v>
      </c>
      <c r="Q47" s="14">
        <f>SUM(Q37:Q46)</f>
        <v>29</v>
      </c>
      <c r="R47" s="15">
        <f>+Y47-T47</f>
        <v>799</v>
      </c>
      <c r="S47" s="14">
        <f aca="true" t="shared" si="20" ref="S47:X47">SUM(S37:S46)</f>
        <v>544</v>
      </c>
      <c r="T47" s="14">
        <f t="shared" si="20"/>
        <v>548</v>
      </c>
      <c r="U47" s="14">
        <f t="shared" si="20"/>
        <v>0</v>
      </c>
      <c r="V47" s="13">
        <f t="shared" si="20"/>
        <v>0</v>
      </c>
      <c r="W47" s="46">
        <f t="shared" si="20"/>
        <v>0</v>
      </c>
      <c r="X47" s="46">
        <f t="shared" si="20"/>
        <v>0</v>
      </c>
      <c r="Y47" s="16">
        <v>1347</v>
      </c>
      <c r="Z47" s="13">
        <f>SUM(Z37:Z46)</f>
        <v>2</v>
      </c>
      <c r="AA47" s="13">
        <f aca="true" t="shared" si="21" ref="AA47:AK47">SUM(AA37:AA46)</f>
        <v>2</v>
      </c>
      <c r="AB47" s="13">
        <f t="shared" si="21"/>
        <v>0</v>
      </c>
      <c r="AC47" s="13">
        <f t="shared" si="21"/>
        <v>0</v>
      </c>
      <c r="AD47" s="13">
        <f t="shared" si="21"/>
        <v>0</v>
      </c>
      <c r="AE47" s="13">
        <f t="shared" si="21"/>
        <v>0</v>
      </c>
      <c r="AF47" s="13">
        <f t="shared" si="21"/>
        <v>0</v>
      </c>
      <c r="AG47" s="13">
        <f t="shared" si="21"/>
        <v>0</v>
      </c>
      <c r="AH47" s="13">
        <f t="shared" si="21"/>
        <v>0</v>
      </c>
      <c r="AI47" s="13">
        <f t="shared" si="21"/>
        <v>0</v>
      </c>
      <c r="AJ47" s="13">
        <f t="shared" si="21"/>
        <v>0</v>
      </c>
      <c r="AK47" s="13">
        <f t="shared" si="21"/>
        <v>0</v>
      </c>
      <c r="AL47" s="13">
        <f t="shared" si="4"/>
        <v>4</v>
      </c>
      <c r="AM47" s="13">
        <f aca="true" t="shared" si="22" ref="AM47:AX47">SUM(AM37:AM46)</f>
        <v>0</v>
      </c>
      <c r="AN47" s="13">
        <f t="shared" si="22"/>
        <v>0</v>
      </c>
      <c r="AO47" s="13">
        <f t="shared" si="22"/>
        <v>0</v>
      </c>
      <c r="AP47" s="13">
        <f t="shared" si="22"/>
        <v>0</v>
      </c>
      <c r="AQ47" s="13">
        <f t="shared" si="22"/>
        <v>0</v>
      </c>
      <c r="AR47" s="13">
        <f t="shared" si="22"/>
        <v>0</v>
      </c>
      <c r="AS47" s="13">
        <f t="shared" si="22"/>
        <v>0</v>
      </c>
      <c r="AT47" s="13">
        <f t="shared" si="22"/>
        <v>0</v>
      </c>
      <c r="AU47" s="13">
        <f t="shared" si="22"/>
        <v>0</v>
      </c>
      <c r="AV47" s="13">
        <f t="shared" si="22"/>
        <v>0</v>
      </c>
      <c r="AW47" s="13">
        <f t="shared" si="22"/>
        <v>0</v>
      </c>
      <c r="AX47" s="13">
        <f t="shared" si="22"/>
        <v>0</v>
      </c>
      <c r="AY47" s="13">
        <f t="shared" si="5"/>
        <v>0</v>
      </c>
    </row>
    <row r="48" spans="1:51" s="65" customFormat="1" ht="15" thickBot="1">
      <c r="A48" s="1" t="s">
        <v>114</v>
      </c>
      <c r="B48" s="103" t="s">
        <v>101</v>
      </c>
      <c r="C48" s="63"/>
      <c r="D48" s="63"/>
      <c r="E48" s="101">
        <v>31</v>
      </c>
      <c r="F48" s="101">
        <v>5</v>
      </c>
      <c r="G48" s="101"/>
      <c r="H48" s="101"/>
      <c r="I48" s="101"/>
      <c r="J48" s="101"/>
      <c r="K48" s="101"/>
      <c r="L48" s="101"/>
      <c r="M48" s="101"/>
      <c r="N48" s="101"/>
      <c r="O48" s="100"/>
      <c r="P48" s="2"/>
      <c r="Q48" s="6">
        <f aca="true" t="shared" si="23" ref="Q48:Q60">SUM(E48:P48)</f>
        <v>36</v>
      </c>
      <c r="R48" s="4"/>
      <c r="S48" s="17">
        <v>286</v>
      </c>
      <c r="T48" s="49">
        <f t="shared" si="11"/>
        <v>294</v>
      </c>
      <c r="U48" s="17"/>
      <c r="V48" s="61">
        <f t="shared" si="3"/>
        <v>0</v>
      </c>
      <c r="W48" s="61">
        <f aca="true" t="shared" si="24" ref="W48:W60">+U48+(AF48+AG48+AH48+AI48)-(AS48+AT48+AU48+AV48)</f>
        <v>0</v>
      </c>
      <c r="X48" s="7"/>
      <c r="Y48" s="5"/>
      <c r="Z48" s="118">
        <v>4</v>
      </c>
      <c r="AA48" s="118">
        <v>4</v>
      </c>
      <c r="AB48" s="118"/>
      <c r="AC48" s="118"/>
      <c r="AD48" s="101"/>
      <c r="AE48" s="101"/>
      <c r="AF48" s="101"/>
      <c r="AG48" s="100"/>
      <c r="AH48" s="100"/>
      <c r="AI48" s="102"/>
      <c r="AJ48" s="100"/>
      <c r="AK48" s="2"/>
      <c r="AL48" s="6">
        <f t="shared" si="4"/>
        <v>8</v>
      </c>
      <c r="AM48" s="101">
        <v>0</v>
      </c>
      <c r="AN48" s="101"/>
      <c r="AO48" s="101"/>
      <c r="AP48" s="101"/>
      <c r="AQ48" s="101"/>
      <c r="AR48" s="101"/>
      <c r="AS48" s="101"/>
      <c r="AT48" s="101"/>
      <c r="AU48" s="101"/>
      <c r="AV48" s="101"/>
      <c r="AW48" s="100"/>
      <c r="AX48" s="100"/>
      <c r="AY48" s="6">
        <f t="shared" si="5"/>
        <v>0</v>
      </c>
    </row>
    <row r="49" spans="1:51" s="65" customFormat="1" ht="15" thickBot="1">
      <c r="A49" s="1" t="s">
        <v>114</v>
      </c>
      <c r="B49" s="103" t="s">
        <v>102</v>
      </c>
      <c r="C49" s="63"/>
      <c r="D49" s="63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0"/>
      <c r="P49" s="2"/>
      <c r="Q49" s="6">
        <f t="shared" si="23"/>
        <v>0</v>
      </c>
      <c r="R49" s="4"/>
      <c r="S49" s="17">
        <v>50</v>
      </c>
      <c r="T49" s="49">
        <f t="shared" si="11"/>
        <v>50</v>
      </c>
      <c r="U49" s="17"/>
      <c r="V49" s="61">
        <f t="shared" si="3"/>
        <v>0</v>
      </c>
      <c r="W49" s="61">
        <f t="shared" si="24"/>
        <v>0</v>
      </c>
      <c r="X49" s="7"/>
      <c r="Y49" s="5"/>
      <c r="Z49" s="118"/>
      <c r="AA49" s="118"/>
      <c r="AB49" s="118"/>
      <c r="AC49" s="118"/>
      <c r="AD49" s="101"/>
      <c r="AE49" s="101"/>
      <c r="AF49" s="101"/>
      <c r="AG49" s="100"/>
      <c r="AH49" s="100"/>
      <c r="AI49" s="102"/>
      <c r="AJ49" s="100"/>
      <c r="AK49" s="2"/>
      <c r="AL49" s="6">
        <f t="shared" si="4"/>
        <v>0</v>
      </c>
      <c r="AM49" s="101"/>
      <c r="AN49" s="101">
        <v>0</v>
      </c>
      <c r="AO49" s="101"/>
      <c r="AP49" s="101"/>
      <c r="AQ49" s="101"/>
      <c r="AR49" s="101"/>
      <c r="AS49" s="101"/>
      <c r="AT49" s="101"/>
      <c r="AU49" s="101"/>
      <c r="AV49" s="101"/>
      <c r="AW49" s="100"/>
      <c r="AX49" s="100"/>
      <c r="AY49" s="6">
        <f t="shared" si="5"/>
        <v>0</v>
      </c>
    </row>
    <row r="50" spans="1:51" s="65" customFormat="1" ht="15" thickBot="1">
      <c r="A50" s="1" t="s">
        <v>114</v>
      </c>
      <c r="B50" s="103" t="s">
        <v>103</v>
      </c>
      <c r="C50" s="63"/>
      <c r="D50" s="63"/>
      <c r="E50" s="101">
        <v>1</v>
      </c>
      <c r="F50" s="101">
        <v>0</v>
      </c>
      <c r="G50" s="101"/>
      <c r="H50" s="101"/>
      <c r="I50" s="101"/>
      <c r="J50" s="101"/>
      <c r="K50" s="101"/>
      <c r="L50" s="101"/>
      <c r="M50" s="101"/>
      <c r="N50" s="101"/>
      <c r="O50" s="100"/>
      <c r="P50" s="2"/>
      <c r="Q50" s="6">
        <f t="shared" si="23"/>
        <v>1</v>
      </c>
      <c r="R50" s="4"/>
      <c r="S50" s="17">
        <v>39</v>
      </c>
      <c r="T50" s="49">
        <f t="shared" si="11"/>
        <v>39</v>
      </c>
      <c r="U50" s="17"/>
      <c r="V50" s="61">
        <f t="shared" si="3"/>
        <v>0</v>
      </c>
      <c r="W50" s="61">
        <f t="shared" si="24"/>
        <v>0</v>
      </c>
      <c r="X50" s="7"/>
      <c r="Y50" s="5"/>
      <c r="Z50" s="118"/>
      <c r="AA50" s="118"/>
      <c r="AB50" s="118"/>
      <c r="AC50" s="118"/>
      <c r="AD50" s="101"/>
      <c r="AE50" s="101"/>
      <c r="AF50" s="101"/>
      <c r="AG50" s="100"/>
      <c r="AH50" s="100"/>
      <c r="AI50" s="102"/>
      <c r="AJ50" s="100"/>
      <c r="AK50" s="2"/>
      <c r="AL50" s="6">
        <f t="shared" si="4"/>
        <v>0</v>
      </c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0"/>
      <c r="AX50" s="100"/>
      <c r="AY50" s="6">
        <f t="shared" si="5"/>
        <v>0</v>
      </c>
    </row>
    <row r="51" spans="1:51" s="65" customFormat="1" ht="15" thickBot="1">
      <c r="A51" s="1" t="s">
        <v>114</v>
      </c>
      <c r="B51" s="103" t="s">
        <v>104</v>
      </c>
      <c r="C51" s="63"/>
      <c r="D51" s="63"/>
      <c r="E51" s="101">
        <v>0</v>
      </c>
      <c r="F51" s="101">
        <v>0</v>
      </c>
      <c r="G51" s="101"/>
      <c r="H51" s="101"/>
      <c r="I51" s="101"/>
      <c r="J51" s="101"/>
      <c r="K51" s="101"/>
      <c r="L51" s="101"/>
      <c r="M51" s="101"/>
      <c r="N51" s="101"/>
      <c r="O51" s="100"/>
      <c r="P51" s="2"/>
      <c r="Q51" s="6">
        <f t="shared" si="23"/>
        <v>0</v>
      </c>
      <c r="R51" s="4"/>
      <c r="S51" s="17">
        <v>32</v>
      </c>
      <c r="T51" s="49">
        <f t="shared" si="11"/>
        <v>32</v>
      </c>
      <c r="U51" s="17"/>
      <c r="V51" s="61">
        <f t="shared" si="3"/>
        <v>0</v>
      </c>
      <c r="W51" s="61">
        <f t="shared" si="24"/>
        <v>0</v>
      </c>
      <c r="X51" s="7"/>
      <c r="Y51" s="5"/>
      <c r="Z51" s="118"/>
      <c r="AA51" s="118"/>
      <c r="AB51" s="118"/>
      <c r="AC51" s="118"/>
      <c r="AD51" s="101"/>
      <c r="AE51" s="101"/>
      <c r="AF51" s="101"/>
      <c r="AG51" s="100"/>
      <c r="AH51" s="100"/>
      <c r="AI51" s="102"/>
      <c r="AJ51" s="100"/>
      <c r="AK51" s="2"/>
      <c r="AL51" s="6">
        <f t="shared" si="4"/>
        <v>0</v>
      </c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0"/>
      <c r="AX51" s="100"/>
      <c r="AY51" s="6">
        <f t="shared" si="5"/>
        <v>0</v>
      </c>
    </row>
    <row r="52" spans="1:51" s="65" customFormat="1" ht="15" thickBot="1">
      <c r="A52" s="1" t="s">
        <v>114</v>
      </c>
      <c r="B52" s="103" t="s">
        <v>105</v>
      </c>
      <c r="C52" s="63"/>
      <c r="D52" s="63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0"/>
      <c r="P52" s="2"/>
      <c r="Q52" s="6">
        <f t="shared" si="23"/>
        <v>0</v>
      </c>
      <c r="R52" s="4"/>
      <c r="S52" s="17">
        <v>6</v>
      </c>
      <c r="T52" s="49">
        <f t="shared" si="11"/>
        <v>6</v>
      </c>
      <c r="U52" s="17"/>
      <c r="V52" s="61">
        <f t="shared" si="3"/>
        <v>0</v>
      </c>
      <c r="W52" s="61">
        <f t="shared" si="24"/>
        <v>0</v>
      </c>
      <c r="X52" s="7"/>
      <c r="Y52" s="5"/>
      <c r="Z52" s="118"/>
      <c r="AA52" s="118"/>
      <c r="AB52" s="118"/>
      <c r="AC52" s="118"/>
      <c r="AD52" s="101"/>
      <c r="AE52" s="101"/>
      <c r="AF52" s="101"/>
      <c r="AG52" s="100"/>
      <c r="AH52" s="100"/>
      <c r="AI52" s="102"/>
      <c r="AJ52" s="100"/>
      <c r="AK52" s="2"/>
      <c r="AL52" s="6">
        <f t="shared" si="4"/>
        <v>0</v>
      </c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0"/>
      <c r="AX52" s="100"/>
      <c r="AY52" s="6">
        <f t="shared" si="5"/>
        <v>0</v>
      </c>
    </row>
    <row r="53" spans="1:51" s="65" customFormat="1" ht="15" thickBot="1">
      <c r="A53" s="1" t="s">
        <v>114</v>
      </c>
      <c r="B53" s="103" t="s">
        <v>106</v>
      </c>
      <c r="C53" s="63"/>
      <c r="D53" s="63"/>
      <c r="E53" s="101">
        <v>0</v>
      </c>
      <c r="F53" s="101"/>
      <c r="G53" s="101"/>
      <c r="H53" s="101"/>
      <c r="I53" s="101"/>
      <c r="J53" s="101"/>
      <c r="K53" s="101"/>
      <c r="L53" s="101"/>
      <c r="M53" s="101"/>
      <c r="N53" s="101"/>
      <c r="O53" s="100"/>
      <c r="P53" s="2"/>
      <c r="Q53" s="6">
        <f t="shared" si="23"/>
        <v>0</v>
      </c>
      <c r="R53" s="4"/>
      <c r="S53" s="17">
        <v>28</v>
      </c>
      <c r="T53" s="49">
        <f t="shared" si="11"/>
        <v>28</v>
      </c>
      <c r="U53" s="17"/>
      <c r="V53" s="61">
        <f t="shared" si="3"/>
        <v>0</v>
      </c>
      <c r="W53" s="61">
        <f t="shared" si="24"/>
        <v>0</v>
      </c>
      <c r="X53" s="7"/>
      <c r="Y53" s="5"/>
      <c r="Z53" s="118"/>
      <c r="AA53" s="118"/>
      <c r="AB53" s="118"/>
      <c r="AC53" s="118"/>
      <c r="AD53" s="101"/>
      <c r="AE53" s="101"/>
      <c r="AF53" s="101"/>
      <c r="AG53" s="100"/>
      <c r="AH53" s="100"/>
      <c r="AI53" s="102"/>
      <c r="AJ53" s="100"/>
      <c r="AK53" s="2"/>
      <c r="AL53" s="6">
        <f t="shared" si="4"/>
        <v>0</v>
      </c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0"/>
      <c r="AX53" s="100"/>
      <c r="AY53" s="6">
        <f t="shared" si="5"/>
        <v>0</v>
      </c>
    </row>
    <row r="54" spans="1:51" s="65" customFormat="1" ht="15" thickBot="1">
      <c r="A54" s="1" t="s">
        <v>114</v>
      </c>
      <c r="B54" s="103" t="s">
        <v>107</v>
      </c>
      <c r="C54" s="63"/>
      <c r="D54" s="63"/>
      <c r="E54" s="101"/>
      <c r="F54" s="101">
        <v>0</v>
      </c>
      <c r="G54" s="101"/>
      <c r="H54" s="101"/>
      <c r="I54" s="101"/>
      <c r="J54" s="101"/>
      <c r="K54" s="101"/>
      <c r="L54" s="101"/>
      <c r="M54" s="101"/>
      <c r="N54" s="101"/>
      <c r="O54" s="100"/>
      <c r="P54" s="2"/>
      <c r="Q54" s="6">
        <f t="shared" si="23"/>
        <v>0</v>
      </c>
      <c r="R54" s="4"/>
      <c r="S54" s="17">
        <v>31</v>
      </c>
      <c r="T54" s="49">
        <f t="shared" si="11"/>
        <v>31</v>
      </c>
      <c r="U54" s="17"/>
      <c r="V54" s="61">
        <f t="shared" si="3"/>
        <v>0</v>
      </c>
      <c r="W54" s="61">
        <f t="shared" si="24"/>
        <v>0</v>
      </c>
      <c r="X54" s="7"/>
      <c r="Y54" s="5"/>
      <c r="Z54" s="118"/>
      <c r="AA54" s="118"/>
      <c r="AB54" s="118"/>
      <c r="AC54" s="118"/>
      <c r="AD54" s="101"/>
      <c r="AE54" s="101"/>
      <c r="AF54" s="101"/>
      <c r="AG54" s="100"/>
      <c r="AH54" s="100"/>
      <c r="AI54" s="102"/>
      <c r="AJ54" s="100"/>
      <c r="AK54" s="2"/>
      <c r="AL54" s="6">
        <f t="shared" si="4"/>
        <v>0</v>
      </c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0"/>
      <c r="AX54" s="100"/>
      <c r="AY54" s="6">
        <f t="shared" si="5"/>
        <v>0</v>
      </c>
    </row>
    <row r="55" spans="1:51" s="65" customFormat="1" ht="15" thickBot="1">
      <c r="A55" s="1" t="s">
        <v>114</v>
      </c>
      <c r="B55" s="103" t="s">
        <v>108</v>
      </c>
      <c r="C55" s="63"/>
      <c r="D55" s="63"/>
      <c r="E55" s="101"/>
      <c r="F55" s="101">
        <v>0</v>
      </c>
      <c r="G55" s="101"/>
      <c r="H55" s="101"/>
      <c r="I55" s="101"/>
      <c r="J55" s="101"/>
      <c r="K55" s="101"/>
      <c r="L55" s="101"/>
      <c r="M55" s="101"/>
      <c r="N55" s="101"/>
      <c r="O55" s="100"/>
      <c r="P55" s="2"/>
      <c r="Q55" s="6">
        <f t="shared" si="23"/>
        <v>0</v>
      </c>
      <c r="R55" s="4"/>
      <c r="S55" s="17">
        <v>13</v>
      </c>
      <c r="T55" s="49">
        <f t="shared" si="11"/>
        <v>13</v>
      </c>
      <c r="U55" s="17"/>
      <c r="V55" s="61">
        <f t="shared" si="3"/>
        <v>0</v>
      </c>
      <c r="W55" s="61">
        <f t="shared" si="24"/>
        <v>0</v>
      </c>
      <c r="X55" s="7"/>
      <c r="Y55" s="5"/>
      <c r="Z55" s="118"/>
      <c r="AA55" s="118"/>
      <c r="AB55" s="118"/>
      <c r="AC55" s="118"/>
      <c r="AD55" s="101"/>
      <c r="AE55" s="101"/>
      <c r="AF55" s="101"/>
      <c r="AG55" s="100"/>
      <c r="AH55" s="100"/>
      <c r="AI55" s="102"/>
      <c r="AJ55" s="100"/>
      <c r="AK55" s="2"/>
      <c r="AL55" s="6">
        <f t="shared" si="4"/>
        <v>0</v>
      </c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0"/>
      <c r="AX55" s="100"/>
      <c r="AY55" s="6">
        <f t="shared" si="5"/>
        <v>0</v>
      </c>
    </row>
    <row r="56" spans="1:51" s="65" customFormat="1" ht="15" thickBot="1">
      <c r="A56" s="1" t="s">
        <v>114</v>
      </c>
      <c r="B56" s="103" t="s">
        <v>109</v>
      </c>
      <c r="C56" s="63"/>
      <c r="D56" s="63"/>
      <c r="E56" s="101">
        <v>0</v>
      </c>
      <c r="F56" s="101">
        <v>3</v>
      </c>
      <c r="G56" s="101"/>
      <c r="H56" s="101"/>
      <c r="I56" s="101"/>
      <c r="J56" s="101"/>
      <c r="K56" s="101"/>
      <c r="L56" s="101"/>
      <c r="M56" s="101"/>
      <c r="N56" s="101"/>
      <c r="O56" s="100"/>
      <c r="P56" s="2"/>
      <c r="Q56" s="6">
        <f t="shared" si="23"/>
        <v>3</v>
      </c>
      <c r="R56" s="4"/>
      <c r="S56" s="17">
        <v>53</v>
      </c>
      <c r="T56" s="49">
        <f t="shared" si="11"/>
        <v>54</v>
      </c>
      <c r="U56" s="17"/>
      <c r="V56" s="61">
        <f t="shared" si="3"/>
        <v>0</v>
      </c>
      <c r="W56" s="61">
        <f t="shared" si="24"/>
        <v>0</v>
      </c>
      <c r="X56" s="7"/>
      <c r="Y56" s="5"/>
      <c r="Z56" s="118">
        <v>0</v>
      </c>
      <c r="AA56" s="118">
        <v>1</v>
      </c>
      <c r="AB56" s="118"/>
      <c r="AC56" s="118"/>
      <c r="AD56" s="101"/>
      <c r="AE56" s="101"/>
      <c r="AF56" s="101"/>
      <c r="AG56" s="100"/>
      <c r="AH56" s="100"/>
      <c r="AI56" s="102"/>
      <c r="AJ56" s="100"/>
      <c r="AK56" s="2"/>
      <c r="AL56" s="6">
        <f t="shared" si="4"/>
        <v>1</v>
      </c>
      <c r="AM56" s="101"/>
      <c r="AN56" s="101">
        <v>0</v>
      </c>
      <c r="AO56" s="101"/>
      <c r="AP56" s="101"/>
      <c r="AQ56" s="101"/>
      <c r="AR56" s="101"/>
      <c r="AS56" s="101"/>
      <c r="AT56" s="101"/>
      <c r="AU56" s="101"/>
      <c r="AV56" s="101"/>
      <c r="AW56" s="100"/>
      <c r="AX56" s="100"/>
      <c r="AY56" s="6">
        <f t="shared" si="5"/>
        <v>0</v>
      </c>
    </row>
    <row r="57" spans="1:51" s="65" customFormat="1" ht="15" thickBot="1">
      <c r="A57" s="1" t="s">
        <v>114</v>
      </c>
      <c r="B57" s="103" t="s">
        <v>110</v>
      </c>
      <c r="C57" s="63"/>
      <c r="D57" s="63"/>
      <c r="E57" s="101">
        <v>1</v>
      </c>
      <c r="F57" s="101">
        <v>0</v>
      </c>
      <c r="G57" s="101"/>
      <c r="H57" s="101"/>
      <c r="I57" s="101"/>
      <c r="J57" s="101"/>
      <c r="K57" s="101"/>
      <c r="L57" s="101"/>
      <c r="M57" s="101"/>
      <c r="N57" s="101"/>
      <c r="O57" s="100"/>
      <c r="P57" s="2"/>
      <c r="Q57" s="6">
        <f t="shared" si="23"/>
        <v>1</v>
      </c>
      <c r="R57" s="4"/>
      <c r="S57" s="17">
        <v>19</v>
      </c>
      <c r="T57" s="49">
        <f t="shared" si="11"/>
        <v>19</v>
      </c>
      <c r="U57" s="17"/>
      <c r="V57" s="61">
        <f t="shared" si="3"/>
        <v>0</v>
      </c>
      <c r="W57" s="61">
        <f t="shared" si="24"/>
        <v>0</v>
      </c>
      <c r="X57" s="7"/>
      <c r="Y57" s="5"/>
      <c r="Z57" s="118"/>
      <c r="AA57" s="118"/>
      <c r="AB57" s="118"/>
      <c r="AC57" s="118"/>
      <c r="AD57" s="101"/>
      <c r="AE57" s="101"/>
      <c r="AF57" s="101"/>
      <c r="AG57" s="100"/>
      <c r="AH57" s="100"/>
      <c r="AI57" s="102"/>
      <c r="AJ57" s="100"/>
      <c r="AK57" s="2"/>
      <c r="AL57" s="6">
        <f t="shared" si="4"/>
        <v>0</v>
      </c>
      <c r="AM57" s="101">
        <v>0</v>
      </c>
      <c r="AN57" s="101"/>
      <c r="AO57" s="101"/>
      <c r="AP57" s="101"/>
      <c r="AQ57" s="101"/>
      <c r="AR57" s="101"/>
      <c r="AS57" s="101"/>
      <c r="AT57" s="101"/>
      <c r="AU57" s="101"/>
      <c r="AV57" s="101"/>
      <c r="AW57" s="100"/>
      <c r="AX57" s="100"/>
      <c r="AY57" s="6">
        <f t="shared" si="5"/>
        <v>0</v>
      </c>
    </row>
    <row r="58" spans="1:51" s="65" customFormat="1" ht="15" thickBot="1">
      <c r="A58" s="1" t="s">
        <v>114</v>
      </c>
      <c r="B58" s="103" t="s">
        <v>111</v>
      </c>
      <c r="C58" s="63"/>
      <c r="D58" s="63"/>
      <c r="E58" s="101">
        <v>3</v>
      </c>
      <c r="F58" s="101">
        <v>9</v>
      </c>
      <c r="G58" s="101"/>
      <c r="H58" s="101"/>
      <c r="I58" s="101"/>
      <c r="J58" s="101"/>
      <c r="K58" s="101"/>
      <c r="L58" s="101"/>
      <c r="M58" s="101"/>
      <c r="N58" s="101"/>
      <c r="O58" s="100"/>
      <c r="P58" s="2"/>
      <c r="Q58" s="6">
        <f t="shared" si="23"/>
        <v>12</v>
      </c>
      <c r="R58" s="4"/>
      <c r="S58" s="17">
        <v>75</v>
      </c>
      <c r="T58" s="49">
        <f t="shared" si="11"/>
        <v>75</v>
      </c>
      <c r="U58" s="17"/>
      <c r="V58" s="61">
        <f t="shared" si="3"/>
        <v>0</v>
      </c>
      <c r="W58" s="61">
        <f t="shared" si="24"/>
        <v>0</v>
      </c>
      <c r="X58" s="7"/>
      <c r="Y58" s="5"/>
      <c r="Z58" s="118">
        <v>0</v>
      </c>
      <c r="AA58" s="118">
        <v>0</v>
      </c>
      <c r="AB58" s="118"/>
      <c r="AC58" s="118"/>
      <c r="AD58" s="101"/>
      <c r="AE58" s="101"/>
      <c r="AF58" s="101"/>
      <c r="AG58" s="100"/>
      <c r="AH58" s="100"/>
      <c r="AI58" s="102"/>
      <c r="AJ58" s="100"/>
      <c r="AK58" s="2"/>
      <c r="AL58" s="6">
        <f t="shared" si="4"/>
        <v>0</v>
      </c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0"/>
      <c r="AX58" s="100"/>
      <c r="AY58" s="6">
        <f t="shared" si="5"/>
        <v>0</v>
      </c>
    </row>
    <row r="59" spans="1:51" s="65" customFormat="1" ht="15" thickBot="1">
      <c r="A59" s="1" t="s">
        <v>114</v>
      </c>
      <c r="B59" s="103" t="s">
        <v>112</v>
      </c>
      <c r="C59" s="63"/>
      <c r="D59" s="63"/>
      <c r="E59" s="101">
        <v>0</v>
      </c>
      <c r="F59" s="101"/>
      <c r="G59" s="101"/>
      <c r="H59" s="101"/>
      <c r="I59" s="101"/>
      <c r="J59" s="101"/>
      <c r="K59" s="101"/>
      <c r="L59" s="101"/>
      <c r="M59" s="101"/>
      <c r="N59" s="101"/>
      <c r="O59" s="100"/>
      <c r="P59" s="2"/>
      <c r="Q59" s="6">
        <f t="shared" si="23"/>
        <v>0</v>
      </c>
      <c r="R59" s="4"/>
      <c r="S59" s="17">
        <v>22</v>
      </c>
      <c r="T59" s="49">
        <f t="shared" si="11"/>
        <v>23</v>
      </c>
      <c r="U59" s="17"/>
      <c r="V59" s="61">
        <f t="shared" si="3"/>
        <v>0</v>
      </c>
      <c r="W59" s="61">
        <f t="shared" si="24"/>
        <v>0</v>
      </c>
      <c r="X59" s="7"/>
      <c r="Y59" s="5"/>
      <c r="Z59" s="118">
        <v>1</v>
      </c>
      <c r="AA59" s="118"/>
      <c r="AB59" s="118"/>
      <c r="AC59" s="118"/>
      <c r="AD59" s="101"/>
      <c r="AE59" s="101"/>
      <c r="AF59" s="101"/>
      <c r="AG59" s="100"/>
      <c r="AH59" s="100"/>
      <c r="AI59" s="102"/>
      <c r="AJ59" s="100"/>
      <c r="AK59" s="2"/>
      <c r="AL59" s="6">
        <f t="shared" si="4"/>
        <v>1</v>
      </c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0"/>
      <c r="AX59" s="100"/>
      <c r="AY59" s="6">
        <f t="shared" si="5"/>
        <v>0</v>
      </c>
    </row>
    <row r="60" spans="1:51" s="65" customFormat="1" ht="15" thickBot="1">
      <c r="A60" s="1" t="s">
        <v>114</v>
      </c>
      <c r="B60" s="103" t="s">
        <v>113</v>
      </c>
      <c r="C60" s="63"/>
      <c r="D60" s="63"/>
      <c r="E60" s="101">
        <v>1</v>
      </c>
      <c r="F60" s="101">
        <v>0</v>
      </c>
      <c r="G60" s="101"/>
      <c r="H60" s="101"/>
      <c r="I60" s="101"/>
      <c r="J60" s="101"/>
      <c r="K60" s="101"/>
      <c r="L60" s="101"/>
      <c r="M60" s="101"/>
      <c r="N60" s="101"/>
      <c r="O60" s="100"/>
      <c r="P60" s="2"/>
      <c r="Q60" s="6">
        <f t="shared" si="23"/>
        <v>1</v>
      </c>
      <c r="R60" s="4"/>
      <c r="S60" s="17">
        <v>25</v>
      </c>
      <c r="T60" s="49">
        <f t="shared" si="11"/>
        <v>25</v>
      </c>
      <c r="U60" s="17"/>
      <c r="V60" s="61">
        <f t="shared" si="3"/>
        <v>0</v>
      </c>
      <c r="W60" s="61">
        <f t="shared" si="24"/>
        <v>0</v>
      </c>
      <c r="X60" s="7"/>
      <c r="Y60" s="5"/>
      <c r="Z60" s="97"/>
      <c r="AA60" s="97"/>
      <c r="AB60" s="97"/>
      <c r="AC60" s="97"/>
      <c r="AD60" s="93"/>
      <c r="AE60" s="93"/>
      <c r="AF60" s="93"/>
      <c r="AG60" s="93"/>
      <c r="AH60" s="93"/>
      <c r="AI60" s="8"/>
      <c r="AJ60" s="2"/>
      <c r="AK60" s="2"/>
      <c r="AL60" s="6">
        <f t="shared" si="4"/>
        <v>0</v>
      </c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0"/>
      <c r="AX60" s="100"/>
      <c r="AY60" s="6">
        <f t="shared" si="5"/>
        <v>0</v>
      </c>
    </row>
    <row r="61" spans="1:51" s="65" customFormat="1" ht="15" thickBot="1">
      <c r="A61" s="196" t="s">
        <v>203</v>
      </c>
      <c r="B61" s="197"/>
      <c r="C61" s="45">
        <f>+D61/Metas!H29</f>
        <v>1.5314804310833807</v>
      </c>
      <c r="D61" s="19">
        <f>+Q61/R61</f>
        <v>0.06279069767441861</v>
      </c>
      <c r="E61" s="14">
        <f>SUM(E48:E60)</f>
        <v>37</v>
      </c>
      <c r="F61" s="14">
        <f aca="true" t="shared" si="25" ref="F61:P61">SUM(F48:F60)</f>
        <v>17</v>
      </c>
      <c r="G61" s="14">
        <f t="shared" si="25"/>
        <v>0</v>
      </c>
      <c r="H61" s="14">
        <f t="shared" si="25"/>
        <v>0</v>
      </c>
      <c r="I61" s="14">
        <f t="shared" si="25"/>
        <v>0</v>
      </c>
      <c r="J61" s="14">
        <f t="shared" si="25"/>
        <v>0</v>
      </c>
      <c r="K61" s="14">
        <f t="shared" si="25"/>
        <v>0</v>
      </c>
      <c r="L61" s="14">
        <f t="shared" si="25"/>
        <v>0</v>
      </c>
      <c r="M61" s="14">
        <f t="shared" si="25"/>
        <v>0</v>
      </c>
      <c r="N61" s="14">
        <f t="shared" si="25"/>
        <v>0</v>
      </c>
      <c r="O61" s="14">
        <f t="shared" si="25"/>
        <v>0</v>
      </c>
      <c r="P61" s="14">
        <f t="shared" si="25"/>
        <v>0</v>
      </c>
      <c r="Q61" s="14">
        <f>SUM(Q48:Q60)</f>
        <v>54</v>
      </c>
      <c r="R61" s="15">
        <f>+Y61-T61</f>
        <v>860</v>
      </c>
      <c r="S61" s="14">
        <f aca="true" t="shared" si="26" ref="S61:X61">SUM(S48:S60)</f>
        <v>679</v>
      </c>
      <c r="T61" s="14">
        <f t="shared" si="26"/>
        <v>689</v>
      </c>
      <c r="U61" s="14">
        <f t="shared" si="26"/>
        <v>0</v>
      </c>
      <c r="V61" s="13">
        <f t="shared" si="26"/>
        <v>0</v>
      </c>
      <c r="W61" s="46">
        <f t="shared" si="26"/>
        <v>0</v>
      </c>
      <c r="X61" s="46">
        <f t="shared" si="26"/>
        <v>0</v>
      </c>
      <c r="Y61" s="16">
        <v>1549</v>
      </c>
      <c r="Z61" s="13">
        <f>SUM(Z48:Z60)</f>
        <v>5</v>
      </c>
      <c r="AA61" s="13">
        <f aca="true" t="shared" si="27" ref="AA61:AK61">SUM(AA48:AA60)</f>
        <v>5</v>
      </c>
      <c r="AB61" s="13">
        <f t="shared" si="27"/>
        <v>0</v>
      </c>
      <c r="AC61" s="13">
        <f t="shared" si="27"/>
        <v>0</v>
      </c>
      <c r="AD61" s="13">
        <f t="shared" si="27"/>
        <v>0</v>
      </c>
      <c r="AE61" s="13">
        <f t="shared" si="27"/>
        <v>0</v>
      </c>
      <c r="AF61" s="13">
        <f t="shared" si="27"/>
        <v>0</v>
      </c>
      <c r="AG61" s="13">
        <f t="shared" si="27"/>
        <v>0</v>
      </c>
      <c r="AH61" s="13">
        <f t="shared" si="27"/>
        <v>0</v>
      </c>
      <c r="AI61" s="13">
        <f t="shared" si="27"/>
        <v>0</v>
      </c>
      <c r="AJ61" s="13">
        <f t="shared" si="27"/>
        <v>0</v>
      </c>
      <c r="AK61" s="13">
        <f t="shared" si="27"/>
        <v>0</v>
      </c>
      <c r="AL61" s="13">
        <f t="shared" si="4"/>
        <v>10</v>
      </c>
      <c r="AM61" s="13">
        <f aca="true" t="shared" si="28" ref="AM61:AX61">SUM(AM48:AM60)</f>
        <v>0</v>
      </c>
      <c r="AN61" s="13">
        <f t="shared" si="28"/>
        <v>0</v>
      </c>
      <c r="AO61" s="13">
        <f t="shared" si="28"/>
        <v>0</v>
      </c>
      <c r="AP61" s="13">
        <f t="shared" si="28"/>
        <v>0</v>
      </c>
      <c r="AQ61" s="13">
        <f t="shared" si="28"/>
        <v>0</v>
      </c>
      <c r="AR61" s="13">
        <f t="shared" si="28"/>
        <v>0</v>
      </c>
      <c r="AS61" s="13">
        <f t="shared" si="28"/>
        <v>0</v>
      </c>
      <c r="AT61" s="13">
        <f t="shared" si="28"/>
        <v>0</v>
      </c>
      <c r="AU61" s="13">
        <f t="shared" si="28"/>
        <v>0</v>
      </c>
      <c r="AV61" s="13">
        <f t="shared" si="28"/>
        <v>0</v>
      </c>
      <c r="AW61" s="13">
        <f t="shared" si="28"/>
        <v>0</v>
      </c>
      <c r="AX61" s="13">
        <f t="shared" si="28"/>
        <v>0</v>
      </c>
      <c r="AY61" s="13">
        <f t="shared" si="5"/>
        <v>0</v>
      </c>
    </row>
    <row r="62" spans="1:51" s="65" customFormat="1" ht="15" thickBot="1">
      <c r="A62" s="1" t="s">
        <v>125</v>
      </c>
      <c r="B62" s="103" t="s">
        <v>115</v>
      </c>
      <c r="C62" s="63"/>
      <c r="D62" s="63"/>
      <c r="E62" s="101">
        <v>19</v>
      </c>
      <c r="F62" s="101">
        <v>2</v>
      </c>
      <c r="G62" s="101"/>
      <c r="H62" s="101"/>
      <c r="I62" s="101"/>
      <c r="J62" s="101"/>
      <c r="K62" s="101"/>
      <c r="L62" s="101"/>
      <c r="M62" s="101"/>
      <c r="N62" s="101"/>
      <c r="O62" s="100"/>
      <c r="P62" s="2"/>
      <c r="Q62" s="6">
        <f aca="true" t="shared" si="29" ref="Q62:Q71">SUM(E62:P62)</f>
        <v>21</v>
      </c>
      <c r="R62" s="4"/>
      <c r="S62" s="17">
        <v>193</v>
      </c>
      <c r="T62" s="49">
        <f t="shared" si="11"/>
        <v>198</v>
      </c>
      <c r="U62" s="17"/>
      <c r="V62" s="61">
        <f t="shared" si="3"/>
        <v>0</v>
      </c>
      <c r="W62" s="61">
        <f aca="true" t="shared" si="30" ref="W62:W71">+U62+(AF62+AG62+AH62+AI62)-(AS62+AT62+AU62+AV62)</f>
        <v>0</v>
      </c>
      <c r="X62" s="7"/>
      <c r="Y62" s="5"/>
      <c r="Z62" s="101">
        <v>0</v>
      </c>
      <c r="AA62" s="101">
        <v>5</v>
      </c>
      <c r="AB62" s="101"/>
      <c r="AC62" s="101"/>
      <c r="AD62" s="101"/>
      <c r="AE62" s="101"/>
      <c r="AF62" s="101"/>
      <c r="AG62" s="100"/>
      <c r="AH62" s="100"/>
      <c r="AI62" s="102"/>
      <c r="AJ62" s="100"/>
      <c r="AK62" s="100"/>
      <c r="AL62" s="6">
        <f t="shared" si="4"/>
        <v>5</v>
      </c>
      <c r="AM62" s="101"/>
      <c r="AN62" s="101"/>
      <c r="AO62" s="101"/>
      <c r="AP62" s="101"/>
      <c r="AQ62" s="101"/>
      <c r="AR62" s="101"/>
      <c r="AS62" s="101"/>
      <c r="AT62" s="100"/>
      <c r="AU62" s="100"/>
      <c r="AV62" s="100"/>
      <c r="AW62" s="100"/>
      <c r="AX62" s="100"/>
      <c r="AY62" s="6">
        <f t="shared" si="5"/>
        <v>0</v>
      </c>
    </row>
    <row r="63" spans="1:51" s="65" customFormat="1" ht="15" thickBot="1">
      <c r="A63" s="1" t="s">
        <v>125</v>
      </c>
      <c r="B63" s="103" t="s">
        <v>116</v>
      </c>
      <c r="C63" s="63"/>
      <c r="D63" s="63"/>
      <c r="E63" s="101">
        <v>3</v>
      </c>
      <c r="F63" s="101">
        <v>0</v>
      </c>
      <c r="G63" s="101"/>
      <c r="H63" s="101"/>
      <c r="I63" s="101"/>
      <c r="J63" s="101"/>
      <c r="K63" s="101"/>
      <c r="L63" s="101"/>
      <c r="M63" s="101"/>
      <c r="N63" s="101"/>
      <c r="O63" s="100"/>
      <c r="P63" s="2"/>
      <c r="Q63" s="6">
        <f t="shared" si="29"/>
        <v>3</v>
      </c>
      <c r="R63" s="4"/>
      <c r="S63" s="17">
        <v>100</v>
      </c>
      <c r="T63" s="49">
        <f t="shared" si="11"/>
        <v>101</v>
      </c>
      <c r="U63" s="17"/>
      <c r="V63" s="61">
        <f t="shared" si="3"/>
        <v>0</v>
      </c>
      <c r="W63" s="61">
        <f t="shared" si="30"/>
        <v>0</v>
      </c>
      <c r="X63" s="7"/>
      <c r="Y63" s="5"/>
      <c r="Z63" s="101">
        <v>1</v>
      </c>
      <c r="AA63" s="101">
        <v>0</v>
      </c>
      <c r="AB63" s="101"/>
      <c r="AC63" s="101"/>
      <c r="AD63" s="101"/>
      <c r="AE63" s="101"/>
      <c r="AF63" s="101"/>
      <c r="AG63" s="100"/>
      <c r="AH63" s="100"/>
      <c r="AI63" s="102"/>
      <c r="AJ63" s="100"/>
      <c r="AK63" s="100"/>
      <c r="AL63" s="6">
        <f t="shared" si="4"/>
        <v>1</v>
      </c>
      <c r="AM63" s="101"/>
      <c r="AN63" s="101"/>
      <c r="AO63" s="101"/>
      <c r="AP63" s="101"/>
      <c r="AQ63" s="101"/>
      <c r="AR63" s="101"/>
      <c r="AS63" s="101"/>
      <c r="AT63" s="100"/>
      <c r="AU63" s="100"/>
      <c r="AV63" s="100"/>
      <c r="AW63" s="100"/>
      <c r="AX63" s="100"/>
      <c r="AY63" s="6">
        <f t="shared" si="5"/>
        <v>0</v>
      </c>
    </row>
    <row r="64" spans="1:51" s="65" customFormat="1" ht="15" thickBot="1">
      <c r="A64" s="1" t="s">
        <v>125</v>
      </c>
      <c r="B64" s="103" t="s">
        <v>117</v>
      </c>
      <c r="C64" s="63"/>
      <c r="D64" s="63"/>
      <c r="E64" s="101">
        <v>3</v>
      </c>
      <c r="F64" s="101">
        <v>2</v>
      </c>
      <c r="G64" s="101"/>
      <c r="H64" s="101"/>
      <c r="I64" s="101"/>
      <c r="J64" s="101"/>
      <c r="K64" s="101"/>
      <c r="L64" s="101"/>
      <c r="M64" s="101"/>
      <c r="N64" s="101"/>
      <c r="O64" s="100"/>
      <c r="P64" s="2"/>
      <c r="Q64" s="6">
        <f t="shared" si="29"/>
        <v>5</v>
      </c>
      <c r="R64" s="4"/>
      <c r="S64" s="17">
        <v>24</v>
      </c>
      <c r="T64" s="49">
        <f t="shared" si="11"/>
        <v>25</v>
      </c>
      <c r="U64" s="17"/>
      <c r="V64" s="61">
        <f t="shared" si="3"/>
        <v>0</v>
      </c>
      <c r="W64" s="61">
        <f t="shared" si="30"/>
        <v>0</v>
      </c>
      <c r="X64" s="7"/>
      <c r="Y64" s="5"/>
      <c r="Z64" s="101">
        <v>1</v>
      </c>
      <c r="AA64" s="101">
        <v>0</v>
      </c>
      <c r="AB64" s="101"/>
      <c r="AC64" s="101"/>
      <c r="AD64" s="101"/>
      <c r="AE64" s="101"/>
      <c r="AF64" s="101"/>
      <c r="AG64" s="100"/>
      <c r="AH64" s="100"/>
      <c r="AI64" s="102"/>
      <c r="AJ64" s="100"/>
      <c r="AK64" s="100"/>
      <c r="AL64" s="6">
        <f t="shared" si="4"/>
        <v>1</v>
      </c>
      <c r="AM64" s="101"/>
      <c r="AN64" s="101"/>
      <c r="AO64" s="101"/>
      <c r="AP64" s="101"/>
      <c r="AQ64" s="101"/>
      <c r="AR64" s="101"/>
      <c r="AS64" s="101"/>
      <c r="AT64" s="100"/>
      <c r="AU64" s="100"/>
      <c r="AV64" s="100"/>
      <c r="AW64" s="100"/>
      <c r="AX64" s="100"/>
      <c r="AY64" s="6">
        <f t="shared" si="5"/>
        <v>0</v>
      </c>
    </row>
    <row r="65" spans="1:51" s="65" customFormat="1" ht="15" thickBot="1">
      <c r="A65" s="1" t="s">
        <v>125</v>
      </c>
      <c r="B65" s="103" t="s">
        <v>118</v>
      </c>
      <c r="C65" s="63"/>
      <c r="D65" s="63"/>
      <c r="E65" s="101">
        <v>2</v>
      </c>
      <c r="F65" s="101">
        <v>0</v>
      </c>
      <c r="G65" s="101"/>
      <c r="H65" s="101"/>
      <c r="I65" s="101"/>
      <c r="J65" s="101"/>
      <c r="K65" s="101"/>
      <c r="L65" s="101"/>
      <c r="M65" s="101"/>
      <c r="N65" s="101"/>
      <c r="O65" s="100"/>
      <c r="P65" s="2"/>
      <c r="Q65" s="6">
        <f t="shared" si="29"/>
        <v>2</v>
      </c>
      <c r="R65" s="4"/>
      <c r="S65" s="17">
        <v>55</v>
      </c>
      <c r="T65" s="49">
        <f t="shared" si="11"/>
        <v>55</v>
      </c>
      <c r="U65" s="17"/>
      <c r="V65" s="61">
        <f t="shared" si="3"/>
        <v>0</v>
      </c>
      <c r="W65" s="61">
        <f t="shared" si="30"/>
        <v>0</v>
      </c>
      <c r="X65" s="7"/>
      <c r="Y65" s="5"/>
      <c r="Z65" s="101">
        <v>0</v>
      </c>
      <c r="AA65" s="101">
        <v>0</v>
      </c>
      <c r="AB65" s="101"/>
      <c r="AC65" s="101"/>
      <c r="AD65" s="101"/>
      <c r="AE65" s="101"/>
      <c r="AF65" s="101"/>
      <c r="AG65" s="100"/>
      <c r="AH65" s="100"/>
      <c r="AI65" s="102"/>
      <c r="AJ65" s="100"/>
      <c r="AK65" s="100"/>
      <c r="AL65" s="6">
        <f t="shared" si="4"/>
        <v>0</v>
      </c>
      <c r="AM65" s="101">
        <v>0</v>
      </c>
      <c r="AN65" s="101">
        <v>0</v>
      </c>
      <c r="AO65" s="101"/>
      <c r="AP65" s="101"/>
      <c r="AQ65" s="101"/>
      <c r="AR65" s="101"/>
      <c r="AS65" s="101"/>
      <c r="AT65" s="100"/>
      <c r="AU65" s="100"/>
      <c r="AV65" s="100"/>
      <c r="AW65" s="100"/>
      <c r="AX65" s="100"/>
      <c r="AY65" s="6">
        <f t="shared" si="5"/>
        <v>0</v>
      </c>
    </row>
    <row r="66" spans="1:51" s="65" customFormat="1" ht="15" thickBot="1">
      <c r="A66" s="1" t="s">
        <v>125</v>
      </c>
      <c r="B66" s="103" t="s">
        <v>119</v>
      </c>
      <c r="C66" s="63"/>
      <c r="D66" s="63"/>
      <c r="E66" s="101">
        <v>8</v>
      </c>
      <c r="F66" s="101">
        <v>2</v>
      </c>
      <c r="G66" s="101"/>
      <c r="H66" s="101"/>
      <c r="I66" s="101"/>
      <c r="J66" s="101"/>
      <c r="K66" s="101"/>
      <c r="L66" s="101"/>
      <c r="M66" s="101"/>
      <c r="N66" s="101"/>
      <c r="O66" s="100"/>
      <c r="P66" s="2"/>
      <c r="Q66" s="6">
        <f t="shared" si="29"/>
        <v>10</v>
      </c>
      <c r="R66" s="4"/>
      <c r="S66" s="17">
        <v>7</v>
      </c>
      <c r="T66" s="49">
        <f t="shared" si="11"/>
        <v>9</v>
      </c>
      <c r="U66" s="17"/>
      <c r="V66" s="61">
        <f t="shared" si="3"/>
        <v>0</v>
      </c>
      <c r="W66" s="61">
        <f t="shared" si="30"/>
        <v>0</v>
      </c>
      <c r="X66" s="7"/>
      <c r="Y66" s="5"/>
      <c r="Z66" s="101">
        <v>2</v>
      </c>
      <c r="AA66" s="101"/>
      <c r="AB66" s="101"/>
      <c r="AC66" s="101"/>
      <c r="AD66" s="101"/>
      <c r="AE66" s="101"/>
      <c r="AF66" s="101"/>
      <c r="AG66" s="100"/>
      <c r="AH66" s="100"/>
      <c r="AI66" s="102"/>
      <c r="AJ66" s="100"/>
      <c r="AK66" s="100"/>
      <c r="AL66" s="6">
        <f t="shared" si="4"/>
        <v>2</v>
      </c>
      <c r="AM66" s="101"/>
      <c r="AN66" s="101"/>
      <c r="AO66" s="101"/>
      <c r="AP66" s="101"/>
      <c r="AQ66" s="101"/>
      <c r="AR66" s="101"/>
      <c r="AS66" s="101"/>
      <c r="AT66" s="100"/>
      <c r="AU66" s="100"/>
      <c r="AV66" s="100"/>
      <c r="AW66" s="100"/>
      <c r="AX66" s="100"/>
      <c r="AY66" s="6">
        <f t="shared" si="5"/>
        <v>0</v>
      </c>
    </row>
    <row r="67" spans="1:51" s="65" customFormat="1" ht="15" thickBot="1">
      <c r="A67" s="1" t="s">
        <v>125</v>
      </c>
      <c r="B67" s="103" t="s">
        <v>120</v>
      </c>
      <c r="C67" s="63"/>
      <c r="D67" s="63"/>
      <c r="E67" s="101">
        <v>4</v>
      </c>
      <c r="F67" s="101">
        <v>0</v>
      </c>
      <c r="G67" s="101"/>
      <c r="H67" s="101"/>
      <c r="I67" s="101"/>
      <c r="J67" s="101"/>
      <c r="K67" s="101"/>
      <c r="L67" s="101"/>
      <c r="M67" s="101"/>
      <c r="N67" s="101"/>
      <c r="O67" s="100"/>
      <c r="P67" s="2"/>
      <c r="Q67" s="6">
        <f t="shared" si="29"/>
        <v>4</v>
      </c>
      <c r="R67" s="4"/>
      <c r="S67" s="17">
        <v>43</v>
      </c>
      <c r="T67" s="49">
        <f t="shared" si="11"/>
        <v>43</v>
      </c>
      <c r="U67" s="17"/>
      <c r="V67" s="61">
        <f t="shared" si="3"/>
        <v>0</v>
      </c>
      <c r="W67" s="61">
        <f t="shared" si="30"/>
        <v>0</v>
      </c>
      <c r="X67" s="7"/>
      <c r="Y67" s="5"/>
      <c r="Z67" s="101"/>
      <c r="AA67" s="101">
        <v>0</v>
      </c>
      <c r="AB67" s="101"/>
      <c r="AC67" s="101"/>
      <c r="AD67" s="101"/>
      <c r="AE67" s="101"/>
      <c r="AF67" s="101"/>
      <c r="AG67" s="100"/>
      <c r="AH67" s="100"/>
      <c r="AI67" s="102"/>
      <c r="AJ67" s="100"/>
      <c r="AK67" s="100"/>
      <c r="AL67" s="6">
        <f t="shared" si="4"/>
        <v>0</v>
      </c>
      <c r="AM67" s="101"/>
      <c r="AN67" s="101"/>
      <c r="AO67" s="101"/>
      <c r="AP67" s="101"/>
      <c r="AQ67" s="101"/>
      <c r="AR67" s="101"/>
      <c r="AS67" s="101"/>
      <c r="AT67" s="100"/>
      <c r="AU67" s="100"/>
      <c r="AV67" s="100"/>
      <c r="AW67" s="100"/>
      <c r="AX67" s="100"/>
      <c r="AY67" s="6">
        <f t="shared" si="5"/>
        <v>0</v>
      </c>
    </row>
    <row r="68" spans="1:51" s="65" customFormat="1" ht="15" thickBot="1">
      <c r="A68" s="1" t="s">
        <v>125</v>
      </c>
      <c r="B68" s="103" t="s">
        <v>121</v>
      </c>
      <c r="C68" s="63"/>
      <c r="D68" s="63"/>
      <c r="E68" s="101">
        <v>0</v>
      </c>
      <c r="F68" s="101">
        <v>1</v>
      </c>
      <c r="G68" s="101"/>
      <c r="H68" s="101"/>
      <c r="I68" s="101"/>
      <c r="J68" s="101"/>
      <c r="K68" s="101"/>
      <c r="L68" s="101"/>
      <c r="M68" s="101"/>
      <c r="N68" s="101"/>
      <c r="O68" s="100"/>
      <c r="P68" s="2"/>
      <c r="Q68" s="6">
        <f t="shared" si="29"/>
        <v>1</v>
      </c>
      <c r="R68" s="4"/>
      <c r="S68" s="17">
        <v>5</v>
      </c>
      <c r="T68" s="49">
        <f t="shared" si="11"/>
        <v>7</v>
      </c>
      <c r="U68" s="17"/>
      <c r="V68" s="61">
        <f t="shared" si="3"/>
        <v>0</v>
      </c>
      <c r="W68" s="61">
        <f t="shared" si="30"/>
        <v>0</v>
      </c>
      <c r="X68" s="7"/>
      <c r="Y68" s="5"/>
      <c r="Z68" s="101">
        <v>1</v>
      </c>
      <c r="AA68" s="101">
        <v>1</v>
      </c>
      <c r="AB68" s="101"/>
      <c r="AC68" s="101"/>
      <c r="AD68" s="101"/>
      <c r="AE68" s="101"/>
      <c r="AF68" s="101"/>
      <c r="AG68" s="100"/>
      <c r="AH68" s="100"/>
      <c r="AI68" s="102"/>
      <c r="AJ68" s="100"/>
      <c r="AK68" s="100"/>
      <c r="AL68" s="6">
        <f t="shared" si="4"/>
        <v>2</v>
      </c>
      <c r="AM68" s="117"/>
      <c r="AN68" s="101"/>
      <c r="AO68" s="101"/>
      <c r="AP68" s="101"/>
      <c r="AQ68" s="101"/>
      <c r="AR68" s="101"/>
      <c r="AS68" s="101"/>
      <c r="AT68" s="100"/>
      <c r="AU68" s="100"/>
      <c r="AV68" s="100"/>
      <c r="AW68" s="100"/>
      <c r="AX68" s="100"/>
      <c r="AY68" s="6">
        <f t="shared" si="5"/>
        <v>0</v>
      </c>
    </row>
    <row r="69" spans="1:51" s="65" customFormat="1" ht="15" thickBot="1">
      <c r="A69" s="1" t="s">
        <v>125</v>
      </c>
      <c r="B69" s="103" t="s">
        <v>122</v>
      </c>
      <c r="C69" s="63"/>
      <c r="D69" s="63"/>
      <c r="E69" s="101">
        <v>3</v>
      </c>
      <c r="F69" s="101">
        <v>0</v>
      </c>
      <c r="G69" s="101"/>
      <c r="H69" s="101"/>
      <c r="I69" s="101"/>
      <c r="J69" s="101"/>
      <c r="K69" s="101"/>
      <c r="L69" s="101"/>
      <c r="M69" s="101"/>
      <c r="N69" s="101"/>
      <c r="O69" s="100"/>
      <c r="P69" s="2"/>
      <c r="Q69" s="6">
        <f t="shared" si="29"/>
        <v>3</v>
      </c>
      <c r="R69" s="4"/>
      <c r="S69" s="17">
        <v>10</v>
      </c>
      <c r="T69" s="49">
        <f t="shared" si="11"/>
        <v>10</v>
      </c>
      <c r="U69" s="17"/>
      <c r="V69" s="61">
        <f t="shared" si="3"/>
        <v>0</v>
      </c>
      <c r="W69" s="61">
        <f t="shared" si="30"/>
        <v>0</v>
      </c>
      <c r="X69" s="7"/>
      <c r="Y69" s="5"/>
      <c r="Z69" s="101"/>
      <c r="AA69" s="101"/>
      <c r="AB69" s="101"/>
      <c r="AC69" s="101"/>
      <c r="AD69" s="101"/>
      <c r="AE69" s="101"/>
      <c r="AF69" s="101"/>
      <c r="AG69" s="100"/>
      <c r="AH69" s="100"/>
      <c r="AI69" s="102"/>
      <c r="AJ69" s="100"/>
      <c r="AK69" s="100"/>
      <c r="AL69" s="6">
        <f t="shared" si="4"/>
        <v>0</v>
      </c>
      <c r="AM69" s="101"/>
      <c r="AN69" s="101"/>
      <c r="AO69" s="101"/>
      <c r="AP69" s="101"/>
      <c r="AQ69" s="101"/>
      <c r="AR69" s="101"/>
      <c r="AS69" s="101"/>
      <c r="AT69" s="100"/>
      <c r="AU69" s="100"/>
      <c r="AV69" s="100"/>
      <c r="AW69" s="100"/>
      <c r="AX69" s="100"/>
      <c r="AY69" s="6">
        <f t="shared" si="5"/>
        <v>0</v>
      </c>
    </row>
    <row r="70" spans="1:51" s="65" customFormat="1" ht="15" thickBot="1">
      <c r="A70" s="1" t="s">
        <v>125</v>
      </c>
      <c r="B70" s="103" t="s">
        <v>123</v>
      </c>
      <c r="C70" s="63"/>
      <c r="D70" s="63"/>
      <c r="E70" s="101">
        <v>6</v>
      </c>
      <c r="F70" s="101">
        <v>2</v>
      </c>
      <c r="G70" s="101"/>
      <c r="H70" s="101"/>
      <c r="I70" s="101"/>
      <c r="J70" s="101"/>
      <c r="K70" s="101"/>
      <c r="L70" s="101"/>
      <c r="M70" s="101"/>
      <c r="N70" s="101"/>
      <c r="O70" s="100"/>
      <c r="P70" s="2"/>
      <c r="Q70" s="6">
        <f t="shared" si="29"/>
        <v>8</v>
      </c>
      <c r="R70" s="4"/>
      <c r="S70" s="17">
        <v>6</v>
      </c>
      <c r="T70" s="49">
        <f t="shared" si="11"/>
        <v>6</v>
      </c>
      <c r="U70" s="17"/>
      <c r="V70" s="61">
        <f t="shared" si="3"/>
        <v>0</v>
      </c>
      <c r="W70" s="61">
        <f t="shared" si="30"/>
        <v>0</v>
      </c>
      <c r="X70" s="7"/>
      <c r="Y70" s="5"/>
      <c r="Z70" s="101"/>
      <c r="AA70" s="106"/>
      <c r="AB70" s="106"/>
      <c r="AC70" s="106"/>
      <c r="AD70" s="106"/>
      <c r="AE70" s="106"/>
      <c r="AF70" s="106"/>
      <c r="AG70" s="106"/>
      <c r="AH70" s="100"/>
      <c r="AI70" s="102"/>
      <c r="AJ70" s="100"/>
      <c r="AK70" s="100"/>
      <c r="AL70" s="6">
        <f t="shared" si="4"/>
        <v>0</v>
      </c>
      <c r="AM70" s="101"/>
      <c r="AN70" s="101"/>
      <c r="AO70" s="101"/>
      <c r="AP70" s="101"/>
      <c r="AQ70" s="101"/>
      <c r="AR70" s="101"/>
      <c r="AS70" s="101"/>
      <c r="AT70" s="100"/>
      <c r="AU70" s="100"/>
      <c r="AV70" s="100"/>
      <c r="AW70" s="100"/>
      <c r="AX70" s="100"/>
      <c r="AY70" s="6">
        <f t="shared" si="5"/>
        <v>0</v>
      </c>
    </row>
    <row r="71" spans="1:51" s="65" customFormat="1" ht="15" thickBot="1">
      <c r="A71" s="1" t="s">
        <v>125</v>
      </c>
      <c r="B71" s="103" t="s">
        <v>124</v>
      </c>
      <c r="C71" s="63"/>
      <c r="D71" s="63"/>
      <c r="E71" s="101">
        <v>3</v>
      </c>
      <c r="F71" s="101">
        <v>2</v>
      </c>
      <c r="G71" s="101"/>
      <c r="H71" s="101"/>
      <c r="I71" s="101"/>
      <c r="J71" s="101"/>
      <c r="K71" s="101"/>
      <c r="L71" s="101"/>
      <c r="M71" s="101"/>
      <c r="N71" s="101"/>
      <c r="O71" s="100"/>
      <c r="P71" s="2"/>
      <c r="Q71" s="6">
        <f t="shared" si="29"/>
        <v>5</v>
      </c>
      <c r="R71" s="4"/>
      <c r="S71" s="17">
        <v>5</v>
      </c>
      <c r="T71" s="49">
        <f t="shared" si="11"/>
        <v>5</v>
      </c>
      <c r="U71" s="17"/>
      <c r="V71" s="61">
        <f t="shared" si="3"/>
        <v>0</v>
      </c>
      <c r="W71" s="61">
        <f t="shared" si="30"/>
        <v>0</v>
      </c>
      <c r="X71" s="7"/>
      <c r="Y71" s="5"/>
      <c r="Z71" s="101"/>
      <c r="AA71" s="101"/>
      <c r="AB71" s="101"/>
      <c r="AC71" s="101"/>
      <c r="AD71" s="101"/>
      <c r="AE71" s="101"/>
      <c r="AF71" s="101"/>
      <c r="AG71" s="100"/>
      <c r="AH71" s="100"/>
      <c r="AI71" s="102"/>
      <c r="AJ71" s="100"/>
      <c r="AK71" s="100"/>
      <c r="AL71" s="6">
        <f t="shared" si="4"/>
        <v>0</v>
      </c>
      <c r="AM71" s="101"/>
      <c r="AN71" s="101"/>
      <c r="AO71" s="101"/>
      <c r="AP71" s="101"/>
      <c r="AQ71" s="101"/>
      <c r="AR71" s="101"/>
      <c r="AS71" s="101"/>
      <c r="AT71" s="100"/>
      <c r="AU71" s="100"/>
      <c r="AV71" s="100"/>
      <c r="AW71" s="100"/>
      <c r="AX71" s="100"/>
      <c r="AY71" s="6">
        <f t="shared" si="5"/>
        <v>0</v>
      </c>
    </row>
    <row r="72" spans="1:51" s="65" customFormat="1" ht="15" thickBot="1">
      <c r="A72" s="196" t="s">
        <v>23</v>
      </c>
      <c r="B72" s="197"/>
      <c r="C72" s="45">
        <f>+D72/Metas!H26</f>
        <v>2.5976202446790677</v>
      </c>
      <c r="D72" s="19">
        <f>+Q72/R72</f>
        <v>0.08831908831908832</v>
      </c>
      <c r="E72" s="14">
        <f>SUM(E62:E71)</f>
        <v>51</v>
      </c>
      <c r="F72" s="14">
        <f aca="true" t="shared" si="31" ref="F72:P72">SUM(F62:F71)</f>
        <v>11</v>
      </c>
      <c r="G72" s="14">
        <f t="shared" si="31"/>
        <v>0</v>
      </c>
      <c r="H72" s="14">
        <f t="shared" si="31"/>
        <v>0</v>
      </c>
      <c r="I72" s="14">
        <f t="shared" si="31"/>
        <v>0</v>
      </c>
      <c r="J72" s="14">
        <f t="shared" si="31"/>
        <v>0</v>
      </c>
      <c r="K72" s="14">
        <f t="shared" si="31"/>
        <v>0</v>
      </c>
      <c r="L72" s="14">
        <f t="shared" si="31"/>
        <v>0</v>
      </c>
      <c r="M72" s="14">
        <f t="shared" si="31"/>
        <v>0</v>
      </c>
      <c r="N72" s="14">
        <f t="shared" si="31"/>
        <v>0</v>
      </c>
      <c r="O72" s="14">
        <f t="shared" si="31"/>
        <v>0</v>
      </c>
      <c r="P72" s="14">
        <f t="shared" si="31"/>
        <v>0</v>
      </c>
      <c r="Q72" s="14">
        <f>SUM(Q62:Q71)</f>
        <v>62</v>
      </c>
      <c r="R72" s="15">
        <f>+Y72-T72</f>
        <v>702</v>
      </c>
      <c r="S72" s="14">
        <f aca="true" t="shared" si="32" ref="S72:X72">SUM(S62:S71)</f>
        <v>448</v>
      </c>
      <c r="T72" s="14">
        <f t="shared" si="32"/>
        <v>459</v>
      </c>
      <c r="U72" s="14">
        <f t="shared" si="32"/>
        <v>0</v>
      </c>
      <c r="V72" s="13">
        <f t="shared" si="32"/>
        <v>0</v>
      </c>
      <c r="W72" s="46">
        <f t="shared" si="32"/>
        <v>0</v>
      </c>
      <c r="X72" s="46">
        <f t="shared" si="32"/>
        <v>0</v>
      </c>
      <c r="Y72" s="16">
        <v>1161</v>
      </c>
      <c r="Z72" s="13">
        <f aca="true" t="shared" si="33" ref="Z72:AK72">SUM(Z62:Z71)</f>
        <v>5</v>
      </c>
      <c r="AA72" s="13">
        <f t="shared" si="33"/>
        <v>6</v>
      </c>
      <c r="AB72" s="13">
        <f t="shared" si="33"/>
        <v>0</v>
      </c>
      <c r="AC72" s="13">
        <f t="shared" si="33"/>
        <v>0</v>
      </c>
      <c r="AD72" s="13">
        <f t="shared" si="33"/>
        <v>0</v>
      </c>
      <c r="AE72" s="13">
        <f t="shared" si="33"/>
        <v>0</v>
      </c>
      <c r="AF72" s="13">
        <f t="shared" si="33"/>
        <v>0</v>
      </c>
      <c r="AG72" s="13">
        <f t="shared" si="33"/>
        <v>0</v>
      </c>
      <c r="AH72" s="13">
        <f t="shared" si="33"/>
        <v>0</v>
      </c>
      <c r="AI72" s="13">
        <f t="shared" si="33"/>
        <v>0</v>
      </c>
      <c r="AJ72" s="13">
        <f t="shared" si="33"/>
        <v>0</v>
      </c>
      <c r="AK72" s="13">
        <f t="shared" si="33"/>
        <v>0</v>
      </c>
      <c r="AL72" s="13">
        <f t="shared" si="4"/>
        <v>11</v>
      </c>
      <c r="AM72" s="13">
        <f aca="true" t="shared" si="34" ref="AM72:AX72">SUM(AM62:AM71)</f>
        <v>0</v>
      </c>
      <c r="AN72" s="13">
        <f t="shared" si="34"/>
        <v>0</v>
      </c>
      <c r="AO72" s="13">
        <f t="shared" si="34"/>
        <v>0</v>
      </c>
      <c r="AP72" s="13">
        <f t="shared" si="34"/>
        <v>0</v>
      </c>
      <c r="AQ72" s="13">
        <f t="shared" si="34"/>
        <v>0</v>
      </c>
      <c r="AR72" s="13">
        <f t="shared" si="34"/>
        <v>0</v>
      </c>
      <c r="AS72" s="13">
        <f t="shared" si="34"/>
        <v>0</v>
      </c>
      <c r="AT72" s="13">
        <f t="shared" si="34"/>
        <v>0</v>
      </c>
      <c r="AU72" s="13">
        <f t="shared" si="34"/>
        <v>0</v>
      </c>
      <c r="AV72" s="13">
        <f t="shared" si="34"/>
        <v>0</v>
      </c>
      <c r="AW72" s="13">
        <f t="shared" si="34"/>
        <v>0</v>
      </c>
      <c r="AX72" s="13">
        <f t="shared" si="34"/>
        <v>0</v>
      </c>
      <c r="AY72" s="13">
        <f t="shared" si="5"/>
        <v>0</v>
      </c>
    </row>
    <row r="73" spans="1:51" s="65" customFormat="1" ht="15" thickBot="1">
      <c r="A73" s="1" t="s">
        <v>131</v>
      </c>
      <c r="B73" s="103" t="s">
        <v>126</v>
      </c>
      <c r="C73" s="63"/>
      <c r="D73" s="63"/>
      <c r="E73" s="101">
        <v>0</v>
      </c>
      <c r="F73" s="101">
        <v>0</v>
      </c>
      <c r="G73" s="101"/>
      <c r="H73" s="101"/>
      <c r="I73" s="101"/>
      <c r="J73" s="101"/>
      <c r="K73" s="101"/>
      <c r="L73" s="101"/>
      <c r="M73" s="101"/>
      <c r="N73" s="101"/>
      <c r="O73" s="100"/>
      <c r="P73" s="2"/>
      <c r="Q73" s="6">
        <f>SUM(E73:P73)</f>
        <v>0</v>
      </c>
      <c r="R73" s="4"/>
      <c r="S73" s="17">
        <v>121</v>
      </c>
      <c r="T73" s="49">
        <f t="shared" si="11"/>
        <v>123</v>
      </c>
      <c r="U73" s="17"/>
      <c r="V73" s="61">
        <f t="shared" si="3"/>
        <v>0</v>
      </c>
      <c r="W73" s="61">
        <f>+U73+(AF73+AG73+AH73+AI73)-(AS73+AT73+AU73+AV73)</f>
        <v>0</v>
      </c>
      <c r="X73" s="7"/>
      <c r="Y73" s="5"/>
      <c r="Z73" s="101">
        <v>2</v>
      </c>
      <c r="AA73" s="101">
        <v>0</v>
      </c>
      <c r="AB73" s="101"/>
      <c r="AC73" s="101"/>
      <c r="AD73" s="101"/>
      <c r="AE73" s="101"/>
      <c r="AF73" s="101"/>
      <c r="AG73" s="101"/>
      <c r="AH73" s="101"/>
      <c r="AI73" s="101"/>
      <c r="AJ73" s="100"/>
      <c r="AK73" s="2"/>
      <c r="AL73" s="6">
        <f t="shared" si="4"/>
        <v>2</v>
      </c>
      <c r="AM73" s="101"/>
      <c r="AN73" s="101"/>
      <c r="AO73" s="101"/>
      <c r="AP73" s="101"/>
      <c r="AQ73" s="101"/>
      <c r="AR73" s="101"/>
      <c r="AS73" s="101"/>
      <c r="AT73" s="100"/>
      <c r="AU73" s="100"/>
      <c r="AV73" s="100"/>
      <c r="AW73" s="100"/>
      <c r="AX73" s="100"/>
      <c r="AY73" s="6">
        <f t="shared" si="5"/>
        <v>0</v>
      </c>
    </row>
    <row r="74" spans="1:51" s="65" customFormat="1" ht="15" thickBot="1">
      <c r="A74" s="1" t="s">
        <v>131</v>
      </c>
      <c r="B74" s="103" t="s">
        <v>127</v>
      </c>
      <c r="C74" s="63"/>
      <c r="D74" s="63"/>
      <c r="E74" s="101">
        <v>0</v>
      </c>
      <c r="F74" s="101">
        <v>0</v>
      </c>
      <c r="G74" s="101"/>
      <c r="H74" s="101"/>
      <c r="I74" s="101"/>
      <c r="J74" s="101"/>
      <c r="K74" s="101"/>
      <c r="L74" s="101"/>
      <c r="M74" s="101"/>
      <c r="N74" s="101"/>
      <c r="O74" s="100"/>
      <c r="P74" s="2"/>
      <c r="Q74" s="6">
        <f>SUM(E74:P74)</f>
        <v>0</v>
      </c>
      <c r="R74" s="4"/>
      <c r="S74" s="17">
        <v>32</v>
      </c>
      <c r="T74" s="49">
        <f t="shared" si="11"/>
        <v>33</v>
      </c>
      <c r="U74" s="17"/>
      <c r="V74" s="61">
        <f t="shared" si="3"/>
        <v>0</v>
      </c>
      <c r="W74" s="61">
        <f>+U74+(AF74+AG74+AH74+AI74)-(AS74+AT74+AU74+AV74)</f>
        <v>0</v>
      </c>
      <c r="X74" s="7"/>
      <c r="Y74" s="5"/>
      <c r="Z74" s="101">
        <v>1</v>
      </c>
      <c r="AA74" s="101">
        <v>0</v>
      </c>
      <c r="AB74" s="101"/>
      <c r="AC74" s="101"/>
      <c r="AD74" s="101"/>
      <c r="AE74" s="101"/>
      <c r="AF74" s="101"/>
      <c r="AG74" s="101"/>
      <c r="AH74" s="101"/>
      <c r="AI74" s="101"/>
      <c r="AJ74" s="100"/>
      <c r="AK74" s="2"/>
      <c r="AL74" s="6">
        <f t="shared" si="4"/>
        <v>1</v>
      </c>
      <c r="AM74" s="101"/>
      <c r="AN74" s="101"/>
      <c r="AO74" s="101"/>
      <c r="AP74" s="101"/>
      <c r="AQ74" s="101"/>
      <c r="AR74" s="101"/>
      <c r="AS74" s="101"/>
      <c r="AT74" s="100"/>
      <c r="AU74" s="100"/>
      <c r="AV74" s="100"/>
      <c r="AW74" s="100"/>
      <c r="AX74" s="100"/>
      <c r="AY74" s="6">
        <f t="shared" si="5"/>
        <v>0</v>
      </c>
    </row>
    <row r="75" spans="1:51" s="65" customFormat="1" ht="15" thickBot="1">
      <c r="A75" s="1" t="s">
        <v>131</v>
      </c>
      <c r="B75" s="103" t="s">
        <v>128</v>
      </c>
      <c r="C75" s="63"/>
      <c r="D75" s="63"/>
      <c r="E75" s="101">
        <v>0</v>
      </c>
      <c r="F75" s="101">
        <v>0</v>
      </c>
      <c r="G75" s="101"/>
      <c r="H75" s="101"/>
      <c r="I75" s="101"/>
      <c r="J75" s="101"/>
      <c r="K75" s="101"/>
      <c r="L75" s="101"/>
      <c r="M75" s="101"/>
      <c r="N75" s="101"/>
      <c r="O75" s="100"/>
      <c r="P75" s="2"/>
      <c r="Q75" s="6">
        <f>SUM(E75:P75)</f>
        <v>0</v>
      </c>
      <c r="R75" s="4"/>
      <c r="S75" s="17">
        <v>75</v>
      </c>
      <c r="T75" s="49">
        <f t="shared" si="11"/>
        <v>75</v>
      </c>
      <c r="U75" s="17"/>
      <c r="V75" s="61">
        <f t="shared" si="3"/>
        <v>0</v>
      </c>
      <c r="W75" s="61">
        <f>+U75+(AF75+AG75+AH75+AI75)-(AS75+AT75+AU75+AV75)</f>
        <v>0</v>
      </c>
      <c r="X75" s="7"/>
      <c r="Y75" s="5"/>
      <c r="Z75" s="101">
        <v>0</v>
      </c>
      <c r="AA75" s="101">
        <v>0</v>
      </c>
      <c r="AB75" s="101"/>
      <c r="AC75" s="101"/>
      <c r="AD75" s="101"/>
      <c r="AE75" s="101"/>
      <c r="AF75" s="101"/>
      <c r="AG75" s="101"/>
      <c r="AH75" s="101"/>
      <c r="AI75" s="101"/>
      <c r="AJ75" s="100"/>
      <c r="AK75" s="2"/>
      <c r="AL75" s="6">
        <f t="shared" si="4"/>
        <v>0</v>
      </c>
      <c r="AM75" s="101"/>
      <c r="AN75" s="101">
        <v>0</v>
      </c>
      <c r="AO75" s="101"/>
      <c r="AP75" s="101"/>
      <c r="AQ75" s="101"/>
      <c r="AR75" s="101"/>
      <c r="AS75" s="101"/>
      <c r="AT75" s="100"/>
      <c r="AU75" s="100"/>
      <c r="AV75" s="100"/>
      <c r="AW75" s="100"/>
      <c r="AX75" s="100"/>
      <c r="AY75" s="6">
        <f t="shared" si="5"/>
        <v>0</v>
      </c>
    </row>
    <row r="76" spans="1:51" s="65" customFormat="1" ht="15" thickBot="1">
      <c r="A76" s="1" t="s">
        <v>131</v>
      </c>
      <c r="B76" s="103" t="s">
        <v>129</v>
      </c>
      <c r="C76" s="63"/>
      <c r="D76" s="63"/>
      <c r="E76" s="101"/>
      <c r="F76" s="101">
        <v>0</v>
      </c>
      <c r="G76" s="101"/>
      <c r="H76" s="101"/>
      <c r="I76" s="101"/>
      <c r="J76" s="101"/>
      <c r="K76" s="101"/>
      <c r="L76" s="101"/>
      <c r="M76" s="101"/>
      <c r="N76" s="101"/>
      <c r="O76" s="100"/>
      <c r="P76" s="2"/>
      <c r="Q76" s="6">
        <f>SUM(E76:P76)</f>
        <v>0</v>
      </c>
      <c r="R76" s="4"/>
      <c r="S76" s="17">
        <v>20</v>
      </c>
      <c r="T76" s="49">
        <f t="shared" si="11"/>
        <v>20</v>
      </c>
      <c r="U76" s="17"/>
      <c r="V76" s="61">
        <f aca="true" t="shared" si="35" ref="V76:V139">+U76+(AF76+AG76)-(AS76+AT76)</f>
        <v>0</v>
      </c>
      <c r="W76" s="61">
        <f>+U76+(AF76+AG76+AH76+AI76)-(AS76+AT76+AU76+AV76)</f>
        <v>0</v>
      </c>
      <c r="X76" s="7"/>
      <c r="Y76" s="5"/>
      <c r="Z76" s="101">
        <v>0</v>
      </c>
      <c r="AA76" s="101"/>
      <c r="AB76" s="101"/>
      <c r="AC76" s="101"/>
      <c r="AD76" s="101"/>
      <c r="AE76" s="101"/>
      <c r="AF76" s="101"/>
      <c r="AG76" s="101"/>
      <c r="AH76" s="101"/>
      <c r="AI76" s="101"/>
      <c r="AJ76" s="100"/>
      <c r="AK76" s="2"/>
      <c r="AL76" s="6">
        <f aca="true" t="shared" si="36" ref="AL76:AL139">SUM(Z76:AK76)</f>
        <v>0</v>
      </c>
      <c r="AM76" s="101"/>
      <c r="AN76" s="101"/>
      <c r="AO76" s="101"/>
      <c r="AP76" s="101"/>
      <c r="AQ76" s="101"/>
      <c r="AR76" s="101"/>
      <c r="AS76" s="101"/>
      <c r="AT76" s="100"/>
      <c r="AU76" s="100"/>
      <c r="AV76" s="100"/>
      <c r="AW76" s="100"/>
      <c r="AX76" s="100"/>
      <c r="AY76" s="6">
        <f aca="true" t="shared" si="37" ref="AY76:AY139">SUM(AM76:AX76)</f>
        <v>0</v>
      </c>
    </row>
    <row r="77" spans="1:51" s="65" customFormat="1" ht="15" thickBot="1">
      <c r="A77" s="1" t="s">
        <v>131</v>
      </c>
      <c r="B77" s="103" t="s">
        <v>130</v>
      </c>
      <c r="C77" s="63"/>
      <c r="D77" s="63"/>
      <c r="E77" s="101">
        <v>1</v>
      </c>
      <c r="F77" s="101">
        <v>0</v>
      </c>
      <c r="G77" s="101"/>
      <c r="H77" s="101"/>
      <c r="I77" s="101"/>
      <c r="J77" s="101"/>
      <c r="K77" s="101"/>
      <c r="L77" s="101"/>
      <c r="M77" s="101"/>
      <c r="N77" s="101"/>
      <c r="O77" s="100"/>
      <c r="P77" s="2"/>
      <c r="Q77" s="6">
        <f>SUM(E77:P77)</f>
        <v>1</v>
      </c>
      <c r="R77" s="4"/>
      <c r="S77" s="17">
        <v>26</v>
      </c>
      <c r="T77" s="49">
        <f t="shared" si="11"/>
        <v>26</v>
      </c>
      <c r="U77" s="17"/>
      <c r="V77" s="61">
        <f t="shared" si="35"/>
        <v>0</v>
      </c>
      <c r="W77" s="61">
        <f>+U77+(AF77+AG77+AH77+AI77)-(AS77+AT77+AU77+AV77)</f>
        <v>0</v>
      </c>
      <c r="X77" s="7"/>
      <c r="Y77" s="5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0"/>
      <c r="AK77" s="2"/>
      <c r="AL77" s="6">
        <f t="shared" si="36"/>
        <v>0</v>
      </c>
      <c r="AM77" s="101"/>
      <c r="AN77" s="101"/>
      <c r="AO77" s="101"/>
      <c r="AP77" s="101"/>
      <c r="AQ77" s="101"/>
      <c r="AR77" s="101"/>
      <c r="AS77" s="101"/>
      <c r="AT77" s="100"/>
      <c r="AU77" s="101"/>
      <c r="AV77" s="100"/>
      <c r="AW77" s="100"/>
      <c r="AX77" s="100"/>
      <c r="AY77" s="6">
        <f t="shared" si="37"/>
        <v>0</v>
      </c>
    </row>
    <row r="78" spans="1:51" s="65" customFormat="1" ht="15" thickBot="1">
      <c r="A78" s="196" t="s">
        <v>204</v>
      </c>
      <c r="B78" s="197"/>
      <c r="C78" s="45">
        <f>+D78/Metas!H31</f>
        <v>0.08153946510110892</v>
      </c>
      <c r="D78" s="19">
        <f>+Q78/R78</f>
        <v>0.00228310502283105</v>
      </c>
      <c r="E78" s="14">
        <f>SUM(E73:E77)</f>
        <v>1</v>
      </c>
      <c r="F78" s="14">
        <f aca="true" t="shared" si="38" ref="F78:P78">SUM(F73:F77)</f>
        <v>0</v>
      </c>
      <c r="G78" s="14">
        <f t="shared" si="38"/>
        <v>0</v>
      </c>
      <c r="H78" s="14">
        <f t="shared" si="38"/>
        <v>0</v>
      </c>
      <c r="I78" s="14">
        <f t="shared" si="38"/>
        <v>0</v>
      </c>
      <c r="J78" s="14">
        <f t="shared" si="38"/>
        <v>0</v>
      </c>
      <c r="K78" s="14">
        <f t="shared" si="38"/>
        <v>0</v>
      </c>
      <c r="L78" s="14">
        <f t="shared" si="38"/>
        <v>0</v>
      </c>
      <c r="M78" s="14">
        <f t="shared" si="38"/>
        <v>0</v>
      </c>
      <c r="N78" s="14">
        <f t="shared" si="38"/>
        <v>0</v>
      </c>
      <c r="O78" s="14">
        <f t="shared" si="38"/>
        <v>0</v>
      </c>
      <c r="P78" s="14">
        <f t="shared" si="38"/>
        <v>0</v>
      </c>
      <c r="Q78" s="14">
        <f>SUM(Q73:Q77)</f>
        <v>1</v>
      </c>
      <c r="R78" s="15">
        <f>+Y78-T78</f>
        <v>438</v>
      </c>
      <c r="S78" s="14">
        <f aca="true" t="shared" si="39" ref="S78:X78">SUM(S73:S77)</f>
        <v>274</v>
      </c>
      <c r="T78" s="14">
        <f t="shared" si="39"/>
        <v>277</v>
      </c>
      <c r="U78" s="14">
        <f t="shared" si="39"/>
        <v>0</v>
      </c>
      <c r="V78" s="13">
        <f t="shared" si="39"/>
        <v>0</v>
      </c>
      <c r="W78" s="46">
        <f t="shared" si="39"/>
        <v>0</v>
      </c>
      <c r="X78" s="46">
        <f t="shared" si="39"/>
        <v>0</v>
      </c>
      <c r="Y78" s="16">
        <v>715</v>
      </c>
      <c r="Z78" s="13">
        <f>SUM(Z73:Z77)</f>
        <v>3</v>
      </c>
      <c r="AA78" s="13">
        <f aca="true" t="shared" si="40" ref="AA78:AK78">SUM(AA73:AA77)</f>
        <v>0</v>
      </c>
      <c r="AB78" s="13">
        <f t="shared" si="40"/>
        <v>0</v>
      </c>
      <c r="AC78" s="13">
        <f t="shared" si="40"/>
        <v>0</v>
      </c>
      <c r="AD78" s="13">
        <f t="shared" si="40"/>
        <v>0</v>
      </c>
      <c r="AE78" s="13">
        <f t="shared" si="40"/>
        <v>0</v>
      </c>
      <c r="AF78" s="13">
        <f t="shared" si="40"/>
        <v>0</v>
      </c>
      <c r="AG78" s="13">
        <f t="shared" si="40"/>
        <v>0</v>
      </c>
      <c r="AH78" s="13">
        <f t="shared" si="40"/>
        <v>0</v>
      </c>
      <c r="AI78" s="13">
        <f t="shared" si="40"/>
        <v>0</v>
      </c>
      <c r="AJ78" s="13">
        <f t="shared" si="40"/>
        <v>0</v>
      </c>
      <c r="AK78" s="13">
        <f t="shared" si="40"/>
        <v>0</v>
      </c>
      <c r="AL78" s="13">
        <f t="shared" si="36"/>
        <v>3</v>
      </c>
      <c r="AM78" s="13">
        <f aca="true" t="shared" si="41" ref="AM78:AX78">SUM(AM73:AM77)</f>
        <v>0</v>
      </c>
      <c r="AN78" s="13">
        <f t="shared" si="41"/>
        <v>0</v>
      </c>
      <c r="AO78" s="13">
        <f t="shared" si="41"/>
        <v>0</v>
      </c>
      <c r="AP78" s="13">
        <f t="shared" si="41"/>
        <v>0</v>
      </c>
      <c r="AQ78" s="13">
        <f t="shared" si="41"/>
        <v>0</v>
      </c>
      <c r="AR78" s="13">
        <f t="shared" si="41"/>
        <v>0</v>
      </c>
      <c r="AS78" s="13">
        <f t="shared" si="41"/>
        <v>0</v>
      </c>
      <c r="AT78" s="13">
        <f t="shared" si="41"/>
        <v>0</v>
      </c>
      <c r="AU78" s="13">
        <f t="shared" si="41"/>
        <v>0</v>
      </c>
      <c r="AV78" s="13">
        <f t="shared" si="41"/>
        <v>0</v>
      </c>
      <c r="AW78" s="13">
        <f t="shared" si="41"/>
        <v>0</v>
      </c>
      <c r="AX78" s="13">
        <f t="shared" si="41"/>
        <v>0</v>
      </c>
      <c r="AY78" s="13">
        <f t="shared" si="37"/>
        <v>0</v>
      </c>
    </row>
    <row r="79" spans="1:51" s="65" customFormat="1" ht="15" thickBot="1">
      <c r="A79" s="1" t="s">
        <v>142</v>
      </c>
      <c r="B79" s="103" t="s">
        <v>132</v>
      </c>
      <c r="C79" s="63"/>
      <c r="D79" s="63"/>
      <c r="E79" s="101">
        <v>10</v>
      </c>
      <c r="F79" s="101">
        <v>13</v>
      </c>
      <c r="G79" s="101"/>
      <c r="H79" s="101"/>
      <c r="I79" s="101"/>
      <c r="J79" s="101"/>
      <c r="K79" s="101"/>
      <c r="L79" s="101"/>
      <c r="M79" s="101"/>
      <c r="N79" s="101"/>
      <c r="O79" s="100"/>
      <c r="P79" s="2"/>
      <c r="Q79" s="6">
        <f aca="true" t="shared" si="42" ref="Q79:Q88">SUM(E79:P79)</f>
        <v>23</v>
      </c>
      <c r="R79" s="4"/>
      <c r="S79" s="17">
        <v>315</v>
      </c>
      <c r="T79" s="49">
        <f aca="true" t="shared" si="43" ref="T79:T88">+S79+(Z79+AA79+AB79)-(AM79+AN79+AO79)</f>
        <v>324</v>
      </c>
      <c r="U79" s="17"/>
      <c r="V79" s="61">
        <f t="shared" si="35"/>
        <v>0</v>
      </c>
      <c r="W79" s="61">
        <f aca="true" t="shared" si="44" ref="W79:W88">+U79+(AF79+AG79+AH79+AI79)-(AS79+AT79+AU79+AV79)</f>
        <v>0</v>
      </c>
      <c r="X79" s="7"/>
      <c r="Y79" s="5"/>
      <c r="Z79" s="101">
        <v>6</v>
      </c>
      <c r="AA79" s="101">
        <v>3</v>
      </c>
      <c r="AB79" s="101"/>
      <c r="AC79" s="101"/>
      <c r="AD79" s="101"/>
      <c r="AE79" s="101"/>
      <c r="AF79" s="101"/>
      <c r="AG79" s="101"/>
      <c r="AH79" s="101"/>
      <c r="AI79" s="101"/>
      <c r="AJ79" s="100"/>
      <c r="AK79" s="2"/>
      <c r="AL79" s="6">
        <f t="shared" si="36"/>
        <v>9</v>
      </c>
      <c r="AM79" s="101">
        <v>0</v>
      </c>
      <c r="AN79" s="101">
        <v>0</v>
      </c>
      <c r="AO79" s="101"/>
      <c r="AP79" s="101"/>
      <c r="AQ79" s="101"/>
      <c r="AR79" s="101"/>
      <c r="AS79" s="101"/>
      <c r="AT79" s="101"/>
      <c r="AU79" s="101"/>
      <c r="AV79" s="101"/>
      <c r="AW79" s="100"/>
      <c r="AX79" s="100"/>
      <c r="AY79" s="6">
        <f t="shared" si="37"/>
        <v>0</v>
      </c>
    </row>
    <row r="80" spans="1:51" s="65" customFormat="1" ht="15" thickBot="1">
      <c r="A80" s="1" t="s">
        <v>142</v>
      </c>
      <c r="B80" s="103" t="s">
        <v>133</v>
      </c>
      <c r="C80" s="63"/>
      <c r="D80" s="63"/>
      <c r="E80" s="101">
        <v>3</v>
      </c>
      <c r="F80" s="101">
        <v>4</v>
      </c>
      <c r="G80" s="101"/>
      <c r="H80" s="101"/>
      <c r="I80" s="101"/>
      <c r="J80" s="101"/>
      <c r="K80" s="101"/>
      <c r="L80" s="101"/>
      <c r="M80" s="101"/>
      <c r="N80" s="101"/>
      <c r="O80" s="100"/>
      <c r="P80" s="2"/>
      <c r="Q80" s="6">
        <f t="shared" si="42"/>
        <v>7</v>
      </c>
      <c r="R80" s="4"/>
      <c r="S80" s="17">
        <v>42</v>
      </c>
      <c r="T80" s="49">
        <f t="shared" si="43"/>
        <v>42</v>
      </c>
      <c r="U80" s="17"/>
      <c r="V80" s="61">
        <f t="shared" si="35"/>
        <v>0</v>
      </c>
      <c r="W80" s="61">
        <f t="shared" si="44"/>
        <v>0</v>
      </c>
      <c r="X80" s="7"/>
      <c r="Y80" s="5"/>
      <c r="Z80" s="101">
        <v>0</v>
      </c>
      <c r="AA80" s="101">
        <v>0</v>
      </c>
      <c r="AB80" s="101"/>
      <c r="AC80" s="101"/>
      <c r="AD80" s="101"/>
      <c r="AE80" s="101"/>
      <c r="AF80" s="101"/>
      <c r="AG80" s="101"/>
      <c r="AH80" s="101"/>
      <c r="AI80" s="101"/>
      <c r="AJ80" s="100"/>
      <c r="AK80" s="2"/>
      <c r="AL80" s="6">
        <f t="shared" si="36"/>
        <v>0</v>
      </c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0"/>
      <c r="AX80" s="100"/>
      <c r="AY80" s="6">
        <f t="shared" si="37"/>
        <v>0</v>
      </c>
    </row>
    <row r="81" spans="1:51" s="65" customFormat="1" ht="15" thickBot="1">
      <c r="A81" s="1" t="s">
        <v>142</v>
      </c>
      <c r="B81" s="103" t="s">
        <v>134</v>
      </c>
      <c r="C81" s="63"/>
      <c r="D81" s="63"/>
      <c r="E81" s="101">
        <v>0</v>
      </c>
      <c r="F81" s="101">
        <v>3</v>
      </c>
      <c r="G81" s="101"/>
      <c r="H81" s="101"/>
      <c r="I81" s="101"/>
      <c r="J81" s="101"/>
      <c r="K81" s="101"/>
      <c r="L81" s="101"/>
      <c r="M81" s="101"/>
      <c r="N81" s="101"/>
      <c r="O81" s="100"/>
      <c r="P81" s="2"/>
      <c r="Q81" s="6">
        <f t="shared" si="42"/>
        <v>3</v>
      </c>
      <c r="R81" s="4"/>
      <c r="S81" s="17">
        <v>18</v>
      </c>
      <c r="T81" s="49">
        <f t="shared" si="43"/>
        <v>18</v>
      </c>
      <c r="U81" s="17"/>
      <c r="V81" s="61">
        <f t="shared" si="35"/>
        <v>0</v>
      </c>
      <c r="W81" s="61">
        <f t="shared" si="44"/>
        <v>0</v>
      </c>
      <c r="X81" s="7"/>
      <c r="Y81" s="5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0"/>
      <c r="AK81" s="2"/>
      <c r="AL81" s="6">
        <f t="shared" si="36"/>
        <v>0</v>
      </c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0"/>
      <c r="AX81" s="100"/>
      <c r="AY81" s="6">
        <f t="shared" si="37"/>
        <v>0</v>
      </c>
    </row>
    <row r="82" spans="1:51" s="65" customFormat="1" ht="15" thickBot="1">
      <c r="A82" s="1" t="s">
        <v>142</v>
      </c>
      <c r="B82" s="103" t="s">
        <v>135</v>
      </c>
      <c r="C82" s="63"/>
      <c r="D82" s="63"/>
      <c r="E82" s="101">
        <v>5</v>
      </c>
      <c r="F82" s="101">
        <v>1</v>
      </c>
      <c r="G82" s="101"/>
      <c r="H82" s="101"/>
      <c r="I82" s="101"/>
      <c r="J82" s="101"/>
      <c r="K82" s="101"/>
      <c r="L82" s="101"/>
      <c r="M82" s="101"/>
      <c r="N82" s="101"/>
      <c r="O82" s="100"/>
      <c r="P82" s="2"/>
      <c r="Q82" s="6">
        <f t="shared" si="42"/>
        <v>6</v>
      </c>
      <c r="R82" s="4"/>
      <c r="S82" s="17">
        <v>63</v>
      </c>
      <c r="T82" s="49">
        <f t="shared" si="43"/>
        <v>61</v>
      </c>
      <c r="U82" s="17"/>
      <c r="V82" s="61">
        <f t="shared" si="35"/>
        <v>0</v>
      </c>
      <c r="W82" s="61">
        <f t="shared" si="44"/>
        <v>0</v>
      </c>
      <c r="X82" s="7"/>
      <c r="Y82" s="5"/>
      <c r="Z82" s="101">
        <v>0</v>
      </c>
      <c r="AA82" s="101">
        <v>0</v>
      </c>
      <c r="AB82" s="101"/>
      <c r="AC82" s="101"/>
      <c r="AD82" s="101"/>
      <c r="AE82" s="101"/>
      <c r="AF82" s="101"/>
      <c r="AG82" s="101"/>
      <c r="AH82" s="101"/>
      <c r="AI82" s="101"/>
      <c r="AJ82" s="100"/>
      <c r="AK82" s="2"/>
      <c r="AL82" s="6">
        <f t="shared" si="36"/>
        <v>0</v>
      </c>
      <c r="AM82" s="101">
        <v>2</v>
      </c>
      <c r="AN82" s="101">
        <v>0</v>
      </c>
      <c r="AO82" s="101"/>
      <c r="AP82" s="101"/>
      <c r="AQ82" s="101"/>
      <c r="AR82" s="101"/>
      <c r="AS82" s="101"/>
      <c r="AT82" s="101"/>
      <c r="AU82" s="101"/>
      <c r="AV82" s="101"/>
      <c r="AW82" s="100"/>
      <c r="AX82" s="100"/>
      <c r="AY82" s="6">
        <f t="shared" si="37"/>
        <v>2</v>
      </c>
    </row>
    <row r="83" spans="1:51" s="65" customFormat="1" ht="15" thickBot="1">
      <c r="A83" s="1" t="s">
        <v>142</v>
      </c>
      <c r="B83" s="103" t="s">
        <v>136</v>
      </c>
      <c r="C83" s="63"/>
      <c r="D83" s="63"/>
      <c r="E83" s="101">
        <v>2</v>
      </c>
      <c r="F83" s="101">
        <v>2</v>
      </c>
      <c r="G83" s="101"/>
      <c r="H83" s="101"/>
      <c r="I83" s="101"/>
      <c r="J83" s="101"/>
      <c r="K83" s="101"/>
      <c r="L83" s="101"/>
      <c r="M83" s="101"/>
      <c r="N83" s="101"/>
      <c r="O83" s="100"/>
      <c r="P83" s="2"/>
      <c r="Q83" s="6">
        <f t="shared" si="42"/>
        <v>4</v>
      </c>
      <c r="R83" s="4"/>
      <c r="S83" s="17">
        <v>46</v>
      </c>
      <c r="T83" s="49">
        <f t="shared" si="43"/>
        <v>46</v>
      </c>
      <c r="U83" s="17"/>
      <c r="V83" s="61">
        <f t="shared" si="35"/>
        <v>0</v>
      </c>
      <c r="W83" s="61">
        <f t="shared" si="44"/>
        <v>0</v>
      </c>
      <c r="X83" s="7"/>
      <c r="Y83" s="5"/>
      <c r="Z83" s="101">
        <v>0</v>
      </c>
      <c r="AA83" s="101"/>
      <c r="AB83" s="101"/>
      <c r="AC83" s="101"/>
      <c r="AD83" s="101"/>
      <c r="AE83" s="101"/>
      <c r="AF83" s="101"/>
      <c r="AG83" s="101"/>
      <c r="AH83" s="101"/>
      <c r="AI83" s="101"/>
      <c r="AJ83" s="100"/>
      <c r="AK83" s="2"/>
      <c r="AL83" s="6">
        <f t="shared" si="36"/>
        <v>0</v>
      </c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0"/>
      <c r="AX83" s="100"/>
      <c r="AY83" s="6">
        <f t="shared" si="37"/>
        <v>0</v>
      </c>
    </row>
    <row r="84" spans="1:51" s="65" customFormat="1" ht="15" thickBot="1">
      <c r="A84" s="1" t="s">
        <v>142</v>
      </c>
      <c r="B84" s="103" t="s">
        <v>137</v>
      </c>
      <c r="C84" s="63"/>
      <c r="D84" s="63"/>
      <c r="E84" s="101">
        <v>0</v>
      </c>
      <c r="F84" s="101"/>
      <c r="G84" s="101"/>
      <c r="H84" s="101"/>
      <c r="I84" s="101"/>
      <c r="J84" s="101"/>
      <c r="K84" s="101"/>
      <c r="L84" s="101"/>
      <c r="M84" s="101"/>
      <c r="N84" s="101"/>
      <c r="O84" s="100"/>
      <c r="P84" s="2"/>
      <c r="Q84" s="6">
        <f t="shared" si="42"/>
        <v>0</v>
      </c>
      <c r="R84" s="4"/>
      <c r="S84" s="17">
        <v>43</v>
      </c>
      <c r="T84" s="49">
        <f t="shared" si="43"/>
        <v>44</v>
      </c>
      <c r="U84" s="17"/>
      <c r="V84" s="61">
        <f t="shared" si="35"/>
        <v>0</v>
      </c>
      <c r="W84" s="61">
        <f t="shared" si="44"/>
        <v>0</v>
      </c>
      <c r="X84" s="7"/>
      <c r="Y84" s="5"/>
      <c r="Z84" s="101">
        <v>1</v>
      </c>
      <c r="AA84" s="101"/>
      <c r="AB84" s="101"/>
      <c r="AC84" s="101"/>
      <c r="AD84" s="101"/>
      <c r="AE84" s="101"/>
      <c r="AF84" s="101"/>
      <c r="AG84" s="101"/>
      <c r="AH84" s="101"/>
      <c r="AI84" s="101"/>
      <c r="AJ84" s="100"/>
      <c r="AK84" s="2"/>
      <c r="AL84" s="6">
        <f t="shared" si="36"/>
        <v>1</v>
      </c>
      <c r="AM84" s="101">
        <v>0</v>
      </c>
      <c r="AN84" s="101"/>
      <c r="AO84" s="101"/>
      <c r="AP84" s="101"/>
      <c r="AQ84" s="101"/>
      <c r="AR84" s="101"/>
      <c r="AS84" s="101"/>
      <c r="AT84" s="101"/>
      <c r="AU84" s="101"/>
      <c r="AV84" s="101"/>
      <c r="AW84" s="100"/>
      <c r="AX84" s="100"/>
      <c r="AY84" s="6">
        <f t="shared" si="37"/>
        <v>0</v>
      </c>
    </row>
    <row r="85" spans="1:51" s="65" customFormat="1" ht="15" thickBot="1">
      <c r="A85" s="1" t="s">
        <v>142</v>
      </c>
      <c r="B85" s="103" t="s">
        <v>138</v>
      </c>
      <c r="C85" s="63"/>
      <c r="D85" s="63"/>
      <c r="E85" s="101">
        <v>0</v>
      </c>
      <c r="F85" s="101">
        <v>0</v>
      </c>
      <c r="G85" s="101"/>
      <c r="H85" s="101"/>
      <c r="I85" s="101"/>
      <c r="J85" s="101"/>
      <c r="K85" s="101"/>
      <c r="L85" s="101"/>
      <c r="M85" s="101"/>
      <c r="N85" s="101"/>
      <c r="O85" s="100"/>
      <c r="P85" s="2"/>
      <c r="Q85" s="6">
        <f t="shared" si="42"/>
        <v>0</v>
      </c>
      <c r="R85" s="4"/>
      <c r="S85" s="17">
        <v>36</v>
      </c>
      <c r="T85" s="49">
        <f t="shared" si="43"/>
        <v>36</v>
      </c>
      <c r="U85" s="17"/>
      <c r="V85" s="61">
        <f t="shared" si="35"/>
        <v>0</v>
      </c>
      <c r="W85" s="61">
        <f t="shared" si="44"/>
        <v>0</v>
      </c>
      <c r="X85" s="7"/>
      <c r="Y85" s="5"/>
      <c r="Z85" s="101"/>
      <c r="AA85" s="101">
        <v>0</v>
      </c>
      <c r="AB85" s="101"/>
      <c r="AC85" s="101"/>
      <c r="AD85" s="101"/>
      <c r="AE85" s="101"/>
      <c r="AF85" s="101"/>
      <c r="AG85" s="101"/>
      <c r="AH85" s="101"/>
      <c r="AI85" s="101"/>
      <c r="AJ85" s="100"/>
      <c r="AK85" s="2"/>
      <c r="AL85" s="6">
        <f t="shared" si="36"/>
        <v>0</v>
      </c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0"/>
      <c r="AX85" s="100"/>
      <c r="AY85" s="6">
        <f t="shared" si="37"/>
        <v>0</v>
      </c>
    </row>
    <row r="86" spans="1:51" s="65" customFormat="1" ht="15" thickBot="1">
      <c r="A86" s="1" t="s">
        <v>142</v>
      </c>
      <c r="B86" s="103" t="s">
        <v>139</v>
      </c>
      <c r="C86" s="63"/>
      <c r="D86" s="63"/>
      <c r="E86" s="101">
        <v>1</v>
      </c>
      <c r="F86" s="101">
        <v>3</v>
      </c>
      <c r="G86" s="101"/>
      <c r="H86" s="101"/>
      <c r="I86" s="101"/>
      <c r="J86" s="101"/>
      <c r="K86" s="101"/>
      <c r="L86" s="101"/>
      <c r="M86" s="101"/>
      <c r="N86" s="101"/>
      <c r="O86" s="100"/>
      <c r="P86" s="2"/>
      <c r="Q86" s="6">
        <f t="shared" si="42"/>
        <v>4</v>
      </c>
      <c r="R86" s="4"/>
      <c r="S86" s="17">
        <v>51</v>
      </c>
      <c r="T86" s="49">
        <f t="shared" si="43"/>
        <v>51</v>
      </c>
      <c r="U86" s="17"/>
      <c r="V86" s="61">
        <f t="shared" si="35"/>
        <v>0</v>
      </c>
      <c r="W86" s="61">
        <f t="shared" si="44"/>
        <v>0</v>
      </c>
      <c r="X86" s="7"/>
      <c r="Y86" s="5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0"/>
      <c r="AK86" s="2"/>
      <c r="AL86" s="6">
        <f t="shared" si="36"/>
        <v>0</v>
      </c>
      <c r="AM86" s="101">
        <v>0</v>
      </c>
      <c r="AN86" s="101">
        <v>0</v>
      </c>
      <c r="AO86" s="101"/>
      <c r="AP86" s="101"/>
      <c r="AQ86" s="101"/>
      <c r="AR86" s="101"/>
      <c r="AS86" s="101"/>
      <c r="AT86" s="101"/>
      <c r="AU86" s="101"/>
      <c r="AV86" s="101"/>
      <c r="AW86" s="100"/>
      <c r="AX86" s="100"/>
      <c r="AY86" s="6">
        <f t="shared" si="37"/>
        <v>0</v>
      </c>
    </row>
    <row r="87" spans="1:51" s="65" customFormat="1" ht="15" thickBot="1">
      <c r="A87" s="1" t="s">
        <v>142</v>
      </c>
      <c r="B87" s="103" t="s">
        <v>140</v>
      </c>
      <c r="C87" s="63"/>
      <c r="D87" s="63"/>
      <c r="E87" s="101">
        <v>1</v>
      </c>
      <c r="F87" s="101">
        <v>0</v>
      </c>
      <c r="G87" s="101"/>
      <c r="H87" s="101"/>
      <c r="I87" s="101"/>
      <c r="J87" s="101"/>
      <c r="K87" s="101"/>
      <c r="L87" s="101"/>
      <c r="M87" s="101"/>
      <c r="N87" s="101"/>
      <c r="O87" s="100"/>
      <c r="P87" s="2"/>
      <c r="Q87" s="6">
        <f t="shared" si="42"/>
        <v>1</v>
      </c>
      <c r="R87" s="4"/>
      <c r="S87" s="17">
        <v>31</v>
      </c>
      <c r="T87" s="49">
        <f t="shared" si="43"/>
        <v>31</v>
      </c>
      <c r="U87" s="17"/>
      <c r="V87" s="61">
        <f t="shared" si="35"/>
        <v>0</v>
      </c>
      <c r="W87" s="61">
        <f t="shared" si="44"/>
        <v>0</v>
      </c>
      <c r="X87" s="7"/>
      <c r="Y87" s="5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0"/>
      <c r="AK87" s="2"/>
      <c r="AL87" s="6">
        <f t="shared" si="36"/>
        <v>0</v>
      </c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0"/>
      <c r="AX87" s="100"/>
      <c r="AY87" s="6">
        <f t="shared" si="37"/>
        <v>0</v>
      </c>
    </row>
    <row r="88" spans="1:51" s="65" customFormat="1" ht="15" thickBot="1">
      <c r="A88" s="1" t="s">
        <v>142</v>
      </c>
      <c r="B88" s="103" t="s">
        <v>141</v>
      </c>
      <c r="C88" s="63"/>
      <c r="D88" s="63"/>
      <c r="E88" s="101">
        <v>0</v>
      </c>
      <c r="F88" s="101">
        <v>5</v>
      </c>
      <c r="G88" s="101"/>
      <c r="H88" s="101"/>
      <c r="I88" s="101"/>
      <c r="J88" s="101"/>
      <c r="K88" s="101"/>
      <c r="L88" s="101"/>
      <c r="M88" s="101"/>
      <c r="N88" s="101"/>
      <c r="O88" s="100"/>
      <c r="P88" s="2"/>
      <c r="Q88" s="6">
        <f t="shared" si="42"/>
        <v>5</v>
      </c>
      <c r="R88" s="4"/>
      <c r="S88" s="17">
        <v>39</v>
      </c>
      <c r="T88" s="49">
        <f t="shared" si="43"/>
        <v>39</v>
      </c>
      <c r="U88" s="17"/>
      <c r="V88" s="61">
        <f t="shared" si="35"/>
        <v>0</v>
      </c>
      <c r="W88" s="61">
        <f t="shared" si="44"/>
        <v>0</v>
      </c>
      <c r="X88" s="7"/>
      <c r="Y88" s="5"/>
      <c r="Z88" s="101">
        <v>0</v>
      </c>
      <c r="AA88" s="101"/>
      <c r="AB88" s="101"/>
      <c r="AC88" s="101"/>
      <c r="AD88" s="101"/>
      <c r="AE88" s="101"/>
      <c r="AF88" s="101"/>
      <c r="AG88" s="101"/>
      <c r="AH88" s="101"/>
      <c r="AI88" s="101"/>
      <c r="AJ88" s="100"/>
      <c r="AK88" s="2"/>
      <c r="AL88" s="6">
        <f t="shared" si="36"/>
        <v>0</v>
      </c>
      <c r="AM88" s="101">
        <v>0</v>
      </c>
      <c r="AN88" s="101">
        <v>0</v>
      </c>
      <c r="AO88" s="101"/>
      <c r="AP88" s="101"/>
      <c r="AQ88" s="101"/>
      <c r="AR88" s="101"/>
      <c r="AS88" s="101"/>
      <c r="AT88" s="101"/>
      <c r="AU88" s="101"/>
      <c r="AV88" s="101"/>
      <c r="AW88" s="100"/>
      <c r="AX88" s="100"/>
      <c r="AY88" s="6">
        <f t="shared" si="37"/>
        <v>0</v>
      </c>
    </row>
    <row r="89" spans="1:51" s="65" customFormat="1" ht="15" thickBot="1">
      <c r="A89" s="196" t="s">
        <v>205</v>
      </c>
      <c r="B89" s="197"/>
      <c r="C89" s="45">
        <f>+D89/Metas!H36</f>
        <v>1.2490573152337858</v>
      </c>
      <c r="D89" s="19">
        <f>+Q89/R89</f>
        <v>0.06495098039215687</v>
      </c>
      <c r="E89" s="14">
        <f aca="true" t="shared" si="45" ref="E89:P89">SUM(E79:E88)</f>
        <v>22</v>
      </c>
      <c r="F89" s="14">
        <f>SUM(F79:F88)</f>
        <v>31</v>
      </c>
      <c r="G89" s="14">
        <f t="shared" si="45"/>
        <v>0</v>
      </c>
      <c r="H89" s="14">
        <f t="shared" si="45"/>
        <v>0</v>
      </c>
      <c r="I89" s="14">
        <f t="shared" si="45"/>
        <v>0</v>
      </c>
      <c r="J89" s="14">
        <f t="shared" si="45"/>
        <v>0</v>
      </c>
      <c r="K89" s="14">
        <f t="shared" si="45"/>
        <v>0</v>
      </c>
      <c r="L89" s="14">
        <f t="shared" si="45"/>
        <v>0</v>
      </c>
      <c r="M89" s="14">
        <f t="shared" si="45"/>
        <v>0</v>
      </c>
      <c r="N89" s="14">
        <f t="shared" si="45"/>
        <v>0</v>
      </c>
      <c r="O89" s="14">
        <f t="shared" si="45"/>
        <v>0</v>
      </c>
      <c r="P89" s="14">
        <f t="shared" si="45"/>
        <v>0</v>
      </c>
      <c r="Q89" s="14">
        <f>SUM(Q79:Q88)</f>
        <v>53</v>
      </c>
      <c r="R89" s="15">
        <f>+Y89-T89</f>
        <v>816</v>
      </c>
      <c r="S89" s="14">
        <f aca="true" t="shared" si="46" ref="S89:X89">SUM(S79:S88)</f>
        <v>684</v>
      </c>
      <c r="T89" s="14">
        <f t="shared" si="46"/>
        <v>692</v>
      </c>
      <c r="U89" s="14">
        <f t="shared" si="46"/>
        <v>0</v>
      </c>
      <c r="V89" s="13">
        <f t="shared" si="46"/>
        <v>0</v>
      </c>
      <c r="W89" s="46">
        <f t="shared" si="46"/>
        <v>0</v>
      </c>
      <c r="X89" s="46">
        <f t="shared" si="46"/>
        <v>0</v>
      </c>
      <c r="Y89" s="16">
        <v>1508</v>
      </c>
      <c r="Z89" s="13">
        <f>SUM(Z79:Z88)</f>
        <v>7</v>
      </c>
      <c r="AA89" s="13">
        <f aca="true" t="shared" si="47" ref="AA89:AK89">SUM(AA79:AA88)</f>
        <v>3</v>
      </c>
      <c r="AB89" s="13">
        <f t="shared" si="47"/>
        <v>0</v>
      </c>
      <c r="AC89" s="13">
        <f t="shared" si="47"/>
        <v>0</v>
      </c>
      <c r="AD89" s="13">
        <f t="shared" si="47"/>
        <v>0</v>
      </c>
      <c r="AE89" s="13">
        <f t="shared" si="47"/>
        <v>0</v>
      </c>
      <c r="AF89" s="13">
        <f t="shared" si="47"/>
        <v>0</v>
      </c>
      <c r="AG89" s="13">
        <f t="shared" si="47"/>
        <v>0</v>
      </c>
      <c r="AH89" s="13">
        <f t="shared" si="47"/>
        <v>0</v>
      </c>
      <c r="AI89" s="13">
        <f t="shared" si="47"/>
        <v>0</v>
      </c>
      <c r="AJ89" s="13">
        <f t="shared" si="47"/>
        <v>0</v>
      </c>
      <c r="AK89" s="13">
        <f t="shared" si="47"/>
        <v>0</v>
      </c>
      <c r="AL89" s="13">
        <f t="shared" si="36"/>
        <v>10</v>
      </c>
      <c r="AM89" s="13">
        <f aca="true" t="shared" si="48" ref="AM89:AX89">SUM(AM79:AM88)</f>
        <v>2</v>
      </c>
      <c r="AN89" s="13">
        <f t="shared" si="48"/>
        <v>0</v>
      </c>
      <c r="AO89" s="13">
        <f t="shared" si="48"/>
        <v>0</v>
      </c>
      <c r="AP89" s="13">
        <f t="shared" si="48"/>
        <v>0</v>
      </c>
      <c r="AQ89" s="13">
        <f t="shared" si="48"/>
        <v>0</v>
      </c>
      <c r="AR89" s="13">
        <f t="shared" si="48"/>
        <v>0</v>
      </c>
      <c r="AS89" s="13">
        <f t="shared" si="48"/>
        <v>0</v>
      </c>
      <c r="AT89" s="13">
        <f t="shared" si="48"/>
        <v>0</v>
      </c>
      <c r="AU89" s="13">
        <f t="shared" si="48"/>
        <v>0</v>
      </c>
      <c r="AV89" s="13">
        <f t="shared" si="48"/>
        <v>0</v>
      </c>
      <c r="AW89" s="13">
        <f t="shared" si="48"/>
        <v>0</v>
      </c>
      <c r="AX89" s="13">
        <f t="shared" si="48"/>
        <v>0</v>
      </c>
      <c r="AY89" s="13">
        <f t="shared" si="37"/>
        <v>2</v>
      </c>
    </row>
    <row r="90" spans="1:51" s="65" customFormat="1" ht="15" thickBot="1">
      <c r="A90" s="1" t="s">
        <v>159</v>
      </c>
      <c r="B90" s="103" t="s">
        <v>143</v>
      </c>
      <c r="C90" s="63"/>
      <c r="D90" s="63"/>
      <c r="E90" s="101">
        <v>13</v>
      </c>
      <c r="F90" s="101">
        <v>1</v>
      </c>
      <c r="G90" s="101"/>
      <c r="H90" s="101"/>
      <c r="I90" s="101"/>
      <c r="J90" s="101"/>
      <c r="K90" s="101"/>
      <c r="L90" s="101"/>
      <c r="M90" s="101"/>
      <c r="N90" s="101"/>
      <c r="O90" s="100"/>
      <c r="P90" s="2"/>
      <c r="Q90" s="6">
        <f aca="true" t="shared" si="49" ref="Q90:Q105">SUM(E90:P90)</f>
        <v>14</v>
      </c>
      <c r="R90" s="4"/>
      <c r="S90" s="17">
        <v>232</v>
      </c>
      <c r="T90" s="49">
        <f aca="true" t="shared" si="50" ref="T90:T105">+S90+(Z90+AA90+AB90)-(AM90+AN90+AO90)</f>
        <v>232</v>
      </c>
      <c r="U90" s="17"/>
      <c r="V90" s="61">
        <f t="shared" si="35"/>
        <v>0</v>
      </c>
      <c r="W90" s="61">
        <f aca="true" t="shared" si="51" ref="W90:W105">+U90+(AF90+AG90+AH90+AI90)-(AS90+AT90+AU90+AV90)</f>
        <v>0</v>
      </c>
      <c r="X90" s="7"/>
      <c r="Y90" s="5"/>
      <c r="Z90" s="101"/>
      <c r="AA90" s="101">
        <v>1</v>
      </c>
      <c r="AB90" s="101"/>
      <c r="AC90" s="101"/>
      <c r="AD90" s="101"/>
      <c r="AE90" s="101"/>
      <c r="AF90" s="101"/>
      <c r="AG90" s="101"/>
      <c r="AH90" s="101"/>
      <c r="AI90" s="101"/>
      <c r="AJ90" s="100"/>
      <c r="AK90" s="2"/>
      <c r="AL90" s="6">
        <f t="shared" si="36"/>
        <v>1</v>
      </c>
      <c r="AM90" s="101"/>
      <c r="AN90" s="101">
        <v>1</v>
      </c>
      <c r="AO90" s="101"/>
      <c r="AP90" s="101"/>
      <c r="AQ90" s="101"/>
      <c r="AR90" s="101"/>
      <c r="AS90" s="101"/>
      <c r="AT90" s="101"/>
      <c r="AU90" s="101"/>
      <c r="AV90" s="101"/>
      <c r="AW90" s="100"/>
      <c r="AX90" s="2"/>
      <c r="AY90" s="6">
        <f t="shared" si="37"/>
        <v>1</v>
      </c>
    </row>
    <row r="91" spans="1:51" s="65" customFormat="1" ht="15" thickBot="1">
      <c r="A91" s="1" t="s">
        <v>159</v>
      </c>
      <c r="B91" s="103" t="s">
        <v>144</v>
      </c>
      <c r="C91" s="63"/>
      <c r="D91" s="63"/>
      <c r="E91" s="101">
        <v>114</v>
      </c>
      <c r="F91" s="101">
        <v>41</v>
      </c>
      <c r="G91" s="101"/>
      <c r="H91" s="101"/>
      <c r="I91" s="101"/>
      <c r="J91" s="101"/>
      <c r="K91" s="101"/>
      <c r="L91" s="101"/>
      <c r="M91" s="101"/>
      <c r="N91" s="101"/>
      <c r="O91" s="100"/>
      <c r="P91" s="2"/>
      <c r="Q91" s="6">
        <f t="shared" si="49"/>
        <v>155</v>
      </c>
      <c r="R91" s="4"/>
      <c r="S91" s="17">
        <v>1049</v>
      </c>
      <c r="T91" s="49">
        <f t="shared" si="50"/>
        <v>1067</v>
      </c>
      <c r="U91" s="17"/>
      <c r="V91" s="61">
        <f t="shared" si="35"/>
        <v>0</v>
      </c>
      <c r="W91" s="61">
        <f t="shared" si="51"/>
        <v>0</v>
      </c>
      <c r="X91" s="7"/>
      <c r="Y91" s="5"/>
      <c r="Z91" s="101">
        <v>7</v>
      </c>
      <c r="AA91" s="101">
        <v>13</v>
      </c>
      <c r="AB91" s="101"/>
      <c r="AC91" s="101"/>
      <c r="AD91" s="101"/>
      <c r="AE91" s="101"/>
      <c r="AF91" s="101"/>
      <c r="AG91" s="101"/>
      <c r="AH91" s="101"/>
      <c r="AI91" s="101"/>
      <c r="AJ91" s="100"/>
      <c r="AK91" s="2"/>
      <c r="AL91" s="6">
        <f t="shared" si="36"/>
        <v>20</v>
      </c>
      <c r="AM91" s="101">
        <v>1</v>
      </c>
      <c r="AN91" s="101">
        <v>1</v>
      </c>
      <c r="AO91" s="101"/>
      <c r="AP91" s="101"/>
      <c r="AQ91" s="101"/>
      <c r="AR91" s="101"/>
      <c r="AS91" s="101"/>
      <c r="AT91" s="101"/>
      <c r="AU91" s="101"/>
      <c r="AV91" s="101"/>
      <c r="AW91" s="100"/>
      <c r="AX91" s="2"/>
      <c r="AY91" s="6">
        <f t="shared" si="37"/>
        <v>2</v>
      </c>
    </row>
    <row r="92" spans="1:51" s="65" customFormat="1" ht="15" thickBot="1">
      <c r="A92" s="1" t="s">
        <v>159</v>
      </c>
      <c r="B92" s="103" t="s">
        <v>145</v>
      </c>
      <c r="C92" s="63"/>
      <c r="D92" s="63"/>
      <c r="E92" s="101">
        <v>30</v>
      </c>
      <c r="F92" s="101">
        <v>33</v>
      </c>
      <c r="G92" s="101"/>
      <c r="H92" s="101"/>
      <c r="I92" s="101"/>
      <c r="J92" s="101"/>
      <c r="K92" s="101"/>
      <c r="L92" s="101"/>
      <c r="M92" s="101"/>
      <c r="N92" s="101"/>
      <c r="O92" s="100"/>
      <c r="P92" s="2"/>
      <c r="Q92" s="6">
        <f t="shared" si="49"/>
        <v>63</v>
      </c>
      <c r="R92" s="4"/>
      <c r="S92" s="17">
        <v>1187</v>
      </c>
      <c r="T92" s="49">
        <f t="shared" si="50"/>
        <v>1196</v>
      </c>
      <c r="U92" s="17"/>
      <c r="V92" s="61">
        <f t="shared" si="35"/>
        <v>0</v>
      </c>
      <c r="W92" s="61">
        <f t="shared" si="51"/>
        <v>0</v>
      </c>
      <c r="X92" s="7"/>
      <c r="Y92" s="5"/>
      <c r="Z92" s="101">
        <v>8</v>
      </c>
      <c r="AA92" s="101">
        <v>2</v>
      </c>
      <c r="AB92" s="101"/>
      <c r="AC92" s="101"/>
      <c r="AD92" s="101"/>
      <c r="AE92" s="101"/>
      <c r="AF92" s="101"/>
      <c r="AG92" s="101"/>
      <c r="AH92" s="101"/>
      <c r="AI92" s="101"/>
      <c r="AJ92" s="100"/>
      <c r="AK92" s="2"/>
      <c r="AL92" s="6">
        <f t="shared" si="36"/>
        <v>10</v>
      </c>
      <c r="AM92" s="101">
        <v>1</v>
      </c>
      <c r="AN92" s="101">
        <v>0</v>
      </c>
      <c r="AO92" s="101"/>
      <c r="AP92" s="101"/>
      <c r="AQ92" s="101"/>
      <c r="AR92" s="101"/>
      <c r="AS92" s="101"/>
      <c r="AT92" s="101"/>
      <c r="AU92" s="101"/>
      <c r="AV92" s="101"/>
      <c r="AW92" s="100"/>
      <c r="AX92" s="2"/>
      <c r="AY92" s="6">
        <f t="shared" si="37"/>
        <v>1</v>
      </c>
    </row>
    <row r="93" spans="1:51" s="65" customFormat="1" ht="15" thickBot="1">
      <c r="A93" s="1" t="s">
        <v>159</v>
      </c>
      <c r="B93" s="103" t="s">
        <v>146</v>
      </c>
      <c r="C93" s="63"/>
      <c r="D93" s="63"/>
      <c r="E93" s="101">
        <v>5</v>
      </c>
      <c r="F93" s="101">
        <v>5</v>
      </c>
      <c r="G93" s="101"/>
      <c r="H93" s="101"/>
      <c r="I93" s="101"/>
      <c r="J93" s="101"/>
      <c r="K93" s="101"/>
      <c r="L93" s="101"/>
      <c r="M93" s="101"/>
      <c r="N93" s="101"/>
      <c r="O93" s="100"/>
      <c r="P93" s="2"/>
      <c r="Q93" s="6">
        <f t="shared" si="49"/>
        <v>10</v>
      </c>
      <c r="R93" s="4"/>
      <c r="S93" s="17">
        <v>235</v>
      </c>
      <c r="T93" s="49">
        <f t="shared" si="50"/>
        <v>242</v>
      </c>
      <c r="U93" s="17"/>
      <c r="V93" s="61">
        <f t="shared" si="35"/>
        <v>0</v>
      </c>
      <c r="W93" s="61">
        <f t="shared" si="51"/>
        <v>0</v>
      </c>
      <c r="X93" s="7"/>
      <c r="Y93" s="5"/>
      <c r="Z93" s="101">
        <v>4</v>
      </c>
      <c r="AA93" s="101">
        <v>3</v>
      </c>
      <c r="AB93" s="101"/>
      <c r="AC93" s="101"/>
      <c r="AD93" s="101"/>
      <c r="AE93" s="101"/>
      <c r="AF93" s="101"/>
      <c r="AG93" s="101"/>
      <c r="AH93" s="101"/>
      <c r="AI93" s="101"/>
      <c r="AJ93" s="100"/>
      <c r="AK93" s="2"/>
      <c r="AL93" s="6">
        <f t="shared" si="36"/>
        <v>7</v>
      </c>
      <c r="AM93" s="101">
        <v>0</v>
      </c>
      <c r="AN93" s="101">
        <v>0</v>
      </c>
      <c r="AO93" s="101"/>
      <c r="AP93" s="101"/>
      <c r="AQ93" s="101"/>
      <c r="AR93" s="101"/>
      <c r="AS93" s="101"/>
      <c r="AT93" s="101"/>
      <c r="AU93" s="101"/>
      <c r="AV93" s="101"/>
      <c r="AW93" s="100"/>
      <c r="AX93" s="2"/>
      <c r="AY93" s="6">
        <f t="shared" si="37"/>
        <v>0</v>
      </c>
    </row>
    <row r="94" spans="1:51" s="65" customFormat="1" ht="15" thickBot="1">
      <c r="A94" s="1" t="s">
        <v>159</v>
      </c>
      <c r="B94" s="103" t="s">
        <v>147</v>
      </c>
      <c r="C94" s="63"/>
      <c r="D94" s="63"/>
      <c r="E94" s="101">
        <v>0</v>
      </c>
      <c r="F94" s="101">
        <v>0</v>
      </c>
      <c r="G94" s="101"/>
      <c r="H94" s="101"/>
      <c r="I94" s="101"/>
      <c r="J94" s="101"/>
      <c r="K94" s="101"/>
      <c r="L94" s="101"/>
      <c r="M94" s="101"/>
      <c r="N94" s="101"/>
      <c r="O94" s="100"/>
      <c r="P94" s="2"/>
      <c r="Q94" s="6">
        <f t="shared" si="49"/>
        <v>0</v>
      </c>
      <c r="R94" s="4"/>
      <c r="S94" s="17">
        <v>82</v>
      </c>
      <c r="T94" s="49">
        <f t="shared" si="50"/>
        <v>83</v>
      </c>
      <c r="U94" s="17"/>
      <c r="V94" s="61">
        <f t="shared" si="35"/>
        <v>0</v>
      </c>
      <c r="W94" s="61">
        <f t="shared" si="51"/>
        <v>0</v>
      </c>
      <c r="X94" s="7"/>
      <c r="Y94" s="5"/>
      <c r="Z94" s="101">
        <v>2</v>
      </c>
      <c r="AA94" s="101"/>
      <c r="AB94" s="101"/>
      <c r="AC94" s="101"/>
      <c r="AD94" s="101"/>
      <c r="AE94" s="101"/>
      <c r="AF94" s="101"/>
      <c r="AG94" s="101"/>
      <c r="AH94" s="101"/>
      <c r="AI94" s="101"/>
      <c r="AJ94" s="100"/>
      <c r="AK94" s="2"/>
      <c r="AL94" s="6">
        <f t="shared" si="36"/>
        <v>2</v>
      </c>
      <c r="AM94" s="101">
        <v>1</v>
      </c>
      <c r="AN94" s="101"/>
      <c r="AO94" s="101"/>
      <c r="AP94" s="101"/>
      <c r="AQ94" s="101"/>
      <c r="AR94" s="101"/>
      <c r="AS94" s="101"/>
      <c r="AT94" s="101"/>
      <c r="AU94" s="101"/>
      <c r="AV94" s="101"/>
      <c r="AW94" s="100"/>
      <c r="AX94" s="2"/>
      <c r="AY94" s="6">
        <f t="shared" si="37"/>
        <v>1</v>
      </c>
    </row>
    <row r="95" spans="1:51" s="65" customFormat="1" ht="15" thickBot="1">
      <c r="A95" s="1" t="s">
        <v>159</v>
      </c>
      <c r="B95" s="103" t="s">
        <v>148</v>
      </c>
      <c r="C95" s="63"/>
      <c r="D95" s="63"/>
      <c r="E95" s="101"/>
      <c r="F95" s="101">
        <v>0</v>
      </c>
      <c r="G95" s="101"/>
      <c r="H95" s="101"/>
      <c r="I95" s="101"/>
      <c r="J95" s="101"/>
      <c r="K95" s="101"/>
      <c r="L95" s="101"/>
      <c r="M95" s="101"/>
      <c r="N95" s="101"/>
      <c r="O95" s="100"/>
      <c r="P95" s="2"/>
      <c r="Q95" s="6">
        <f t="shared" si="49"/>
        <v>0</v>
      </c>
      <c r="R95" s="4"/>
      <c r="S95" s="17">
        <v>99</v>
      </c>
      <c r="T95" s="49">
        <f t="shared" si="50"/>
        <v>101</v>
      </c>
      <c r="U95" s="17"/>
      <c r="V95" s="61">
        <f t="shared" si="35"/>
        <v>0</v>
      </c>
      <c r="W95" s="61">
        <f t="shared" si="51"/>
        <v>0</v>
      </c>
      <c r="X95" s="7"/>
      <c r="Y95" s="5"/>
      <c r="Z95" s="101">
        <v>0</v>
      </c>
      <c r="AA95" s="101">
        <v>2</v>
      </c>
      <c r="AB95" s="101"/>
      <c r="AC95" s="101"/>
      <c r="AD95" s="101"/>
      <c r="AE95" s="101"/>
      <c r="AF95" s="101"/>
      <c r="AG95" s="101"/>
      <c r="AH95" s="101"/>
      <c r="AI95" s="101"/>
      <c r="AJ95" s="100"/>
      <c r="AK95" s="2"/>
      <c r="AL95" s="6">
        <f t="shared" si="36"/>
        <v>2</v>
      </c>
      <c r="AM95" s="101">
        <v>0</v>
      </c>
      <c r="AN95" s="101">
        <v>0</v>
      </c>
      <c r="AO95" s="101"/>
      <c r="AP95" s="101"/>
      <c r="AQ95" s="101"/>
      <c r="AR95" s="101"/>
      <c r="AS95" s="101"/>
      <c r="AT95" s="101"/>
      <c r="AU95" s="101"/>
      <c r="AV95" s="101"/>
      <c r="AW95" s="100"/>
      <c r="AX95" s="2"/>
      <c r="AY95" s="6">
        <f t="shared" si="37"/>
        <v>0</v>
      </c>
    </row>
    <row r="96" spans="1:51" s="65" customFormat="1" ht="15" thickBot="1">
      <c r="A96" s="1" t="s">
        <v>159</v>
      </c>
      <c r="B96" s="103" t="s">
        <v>149</v>
      </c>
      <c r="C96" s="63"/>
      <c r="D96" s="63"/>
      <c r="E96" s="101"/>
      <c r="F96" s="101">
        <v>3</v>
      </c>
      <c r="G96" s="101"/>
      <c r="H96" s="101"/>
      <c r="I96" s="101"/>
      <c r="J96" s="101"/>
      <c r="K96" s="101"/>
      <c r="L96" s="101"/>
      <c r="M96" s="101"/>
      <c r="N96" s="101"/>
      <c r="O96" s="100"/>
      <c r="P96" s="2"/>
      <c r="Q96" s="6">
        <f t="shared" si="49"/>
        <v>3</v>
      </c>
      <c r="R96" s="4"/>
      <c r="S96" s="17">
        <v>51</v>
      </c>
      <c r="T96" s="49">
        <f t="shared" si="50"/>
        <v>51</v>
      </c>
      <c r="U96" s="17"/>
      <c r="V96" s="61">
        <f t="shared" si="35"/>
        <v>0</v>
      </c>
      <c r="W96" s="61">
        <f t="shared" si="51"/>
        <v>0</v>
      </c>
      <c r="X96" s="7"/>
      <c r="Y96" s="5"/>
      <c r="Z96" s="101"/>
      <c r="AA96" s="101">
        <v>1</v>
      </c>
      <c r="AB96" s="101"/>
      <c r="AC96" s="101"/>
      <c r="AD96" s="101"/>
      <c r="AE96" s="101"/>
      <c r="AF96" s="101"/>
      <c r="AG96" s="101"/>
      <c r="AH96" s="101"/>
      <c r="AI96" s="101"/>
      <c r="AJ96" s="100"/>
      <c r="AK96" s="2"/>
      <c r="AL96" s="6">
        <f t="shared" si="36"/>
        <v>1</v>
      </c>
      <c r="AM96" s="101">
        <v>1</v>
      </c>
      <c r="AN96" s="101">
        <v>0</v>
      </c>
      <c r="AO96" s="101"/>
      <c r="AP96" s="101"/>
      <c r="AQ96" s="101"/>
      <c r="AR96" s="101"/>
      <c r="AS96" s="101"/>
      <c r="AT96" s="101"/>
      <c r="AU96" s="101"/>
      <c r="AV96" s="101"/>
      <c r="AW96" s="100"/>
      <c r="AX96" s="2"/>
      <c r="AY96" s="6">
        <f t="shared" si="37"/>
        <v>1</v>
      </c>
    </row>
    <row r="97" spans="1:51" s="65" customFormat="1" ht="15" thickBot="1">
      <c r="A97" s="1" t="s">
        <v>159</v>
      </c>
      <c r="B97" s="103" t="s">
        <v>150</v>
      </c>
      <c r="C97" s="63"/>
      <c r="D97" s="63"/>
      <c r="E97" s="101">
        <v>0</v>
      </c>
      <c r="F97" s="101">
        <v>0</v>
      </c>
      <c r="G97" s="101"/>
      <c r="H97" s="101"/>
      <c r="I97" s="101"/>
      <c r="J97" s="101"/>
      <c r="K97" s="101"/>
      <c r="L97" s="101"/>
      <c r="M97" s="101"/>
      <c r="N97" s="101"/>
      <c r="O97" s="100"/>
      <c r="P97" s="2"/>
      <c r="Q97" s="6">
        <f t="shared" si="49"/>
        <v>0</v>
      </c>
      <c r="R97" s="4"/>
      <c r="S97" s="17">
        <v>30</v>
      </c>
      <c r="T97" s="49">
        <f t="shared" si="50"/>
        <v>30</v>
      </c>
      <c r="U97" s="17"/>
      <c r="V97" s="61">
        <f t="shared" si="35"/>
        <v>0</v>
      </c>
      <c r="W97" s="61">
        <f t="shared" si="51"/>
        <v>0</v>
      </c>
      <c r="X97" s="7"/>
      <c r="Y97" s="5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0"/>
      <c r="AK97" s="2"/>
      <c r="AL97" s="6">
        <f t="shared" si="36"/>
        <v>0</v>
      </c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0"/>
      <c r="AX97" s="2"/>
      <c r="AY97" s="6">
        <f t="shared" si="37"/>
        <v>0</v>
      </c>
    </row>
    <row r="98" spans="1:51" s="65" customFormat="1" ht="15" thickBot="1">
      <c r="A98" s="1" t="s">
        <v>159</v>
      </c>
      <c r="B98" s="103" t="s">
        <v>151</v>
      </c>
      <c r="C98" s="63"/>
      <c r="D98" s="63"/>
      <c r="E98" s="101"/>
      <c r="F98" s="101">
        <v>0</v>
      </c>
      <c r="G98" s="101"/>
      <c r="H98" s="101"/>
      <c r="I98" s="101"/>
      <c r="J98" s="101"/>
      <c r="K98" s="101"/>
      <c r="L98" s="101"/>
      <c r="M98" s="101"/>
      <c r="N98" s="101"/>
      <c r="O98" s="100"/>
      <c r="P98" s="2"/>
      <c r="Q98" s="6">
        <f t="shared" si="49"/>
        <v>0</v>
      </c>
      <c r="R98" s="4"/>
      <c r="S98" s="17">
        <v>157</v>
      </c>
      <c r="T98" s="49">
        <f t="shared" si="50"/>
        <v>160</v>
      </c>
      <c r="U98" s="17"/>
      <c r="V98" s="61">
        <f t="shared" si="35"/>
        <v>0</v>
      </c>
      <c r="W98" s="61">
        <f t="shared" si="51"/>
        <v>0</v>
      </c>
      <c r="X98" s="7"/>
      <c r="Y98" s="5"/>
      <c r="Z98" s="101">
        <v>1</v>
      </c>
      <c r="AA98" s="101">
        <v>2</v>
      </c>
      <c r="AB98" s="101"/>
      <c r="AC98" s="101"/>
      <c r="AD98" s="101"/>
      <c r="AE98" s="101"/>
      <c r="AF98" s="101"/>
      <c r="AG98" s="101"/>
      <c r="AH98" s="101"/>
      <c r="AI98" s="101"/>
      <c r="AJ98" s="100"/>
      <c r="AK98" s="2"/>
      <c r="AL98" s="6">
        <f t="shared" si="36"/>
        <v>3</v>
      </c>
      <c r="AM98" s="101"/>
      <c r="AN98" s="101">
        <v>0</v>
      </c>
      <c r="AO98" s="101"/>
      <c r="AP98" s="101"/>
      <c r="AQ98" s="101"/>
      <c r="AR98" s="101"/>
      <c r="AS98" s="101"/>
      <c r="AT98" s="101"/>
      <c r="AU98" s="101"/>
      <c r="AV98" s="101"/>
      <c r="AW98" s="100"/>
      <c r="AX98" s="2"/>
      <c r="AY98" s="6">
        <f t="shared" si="37"/>
        <v>0</v>
      </c>
    </row>
    <row r="99" spans="1:51" s="65" customFormat="1" ht="15" thickBot="1">
      <c r="A99" s="1" t="s">
        <v>159</v>
      </c>
      <c r="B99" s="103" t="s">
        <v>152</v>
      </c>
      <c r="C99" s="63"/>
      <c r="D99" s="63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0"/>
      <c r="P99" s="2"/>
      <c r="Q99" s="6">
        <f t="shared" si="49"/>
        <v>0</v>
      </c>
      <c r="R99" s="4"/>
      <c r="S99" s="17">
        <v>30</v>
      </c>
      <c r="T99" s="49">
        <f t="shared" si="50"/>
        <v>30</v>
      </c>
      <c r="U99" s="17"/>
      <c r="V99" s="61">
        <f t="shared" si="35"/>
        <v>0</v>
      </c>
      <c r="W99" s="61">
        <f t="shared" si="51"/>
        <v>0</v>
      </c>
      <c r="X99" s="7"/>
      <c r="Y99" s="5"/>
      <c r="Z99" s="101"/>
      <c r="AA99" s="101">
        <v>0</v>
      </c>
      <c r="AB99" s="101"/>
      <c r="AC99" s="101"/>
      <c r="AD99" s="101"/>
      <c r="AE99" s="101"/>
      <c r="AF99" s="101"/>
      <c r="AG99" s="101"/>
      <c r="AH99" s="101"/>
      <c r="AI99" s="101"/>
      <c r="AJ99" s="100"/>
      <c r="AK99" s="2"/>
      <c r="AL99" s="6">
        <f t="shared" si="36"/>
        <v>0</v>
      </c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0"/>
      <c r="AX99" s="2"/>
      <c r="AY99" s="6">
        <f t="shared" si="37"/>
        <v>0</v>
      </c>
    </row>
    <row r="100" spans="1:51" s="65" customFormat="1" ht="15" thickBot="1">
      <c r="A100" s="1" t="s">
        <v>159</v>
      </c>
      <c r="B100" s="103" t="s">
        <v>153</v>
      </c>
      <c r="C100" s="63"/>
      <c r="D100" s="63"/>
      <c r="E100" s="101"/>
      <c r="F100" s="101">
        <v>0</v>
      </c>
      <c r="G100" s="101"/>
      <c r="H100" s="101"/>
      <c r="I100" s="101"/>
      <c r="J100" s="101"/>
      <c r="K100" s="101"/>
      <c r="L100" s="101"/>
      <c r="M100" s="101"/>
      <c r="N100" s="101"/>
      <c r="O100" s="100"/>
      <c r="P100" s="2"/>
      <c r="Q100" s="6">
        <f t="shared" si="49"/>
        <v>0</v>
      </c>
      <c r="R100" s="4"/>
      <c r="S100" s="17">
        <v>48</v>
      </c>
      <c r="T100" s="49">
        <f t="shared" si="50"/>
        <v>50</v>
      </c>
      <c r="U100" s="17"/>
      <c r="V100" s="61">
        <f t="shared" si="35"/>
        <v>0</v>
      </c>
      <c r="W100" s="61">
        <f t="shared" si="51"/>
        <v>0</v>
      </c>
      <c r="X100" s="7"/>
      <c r="Y100" s="5"/>
      <c r="Z100" s="101">
        <v>2</v>
      </c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0"/>
      <c r="AK100" s="2"/>
      <c r="AL100" s="6">
        <f t="shared" si="36"/>
        <v>2</v>
      </c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0"/>
      <c r="AX100" s="2"/>
      <c r="AY100" s="6">
        <f t="shared" si="37"/>
        <v>0</v>
      </c>
    </row>
    <row r="101" spans="1:51" s="65" customFormat="1" ht="15" thickBot="1">
      <c r="A101" s="1" t="s">
        <v>159</v>
      </c>
      <c r="B101" s="103" t="s">
        <v>154</v>
      </c>
      <c r="C101" s="63"/>
      <c r="D101" s="63"/>
      <c r="E101" s="101">
        <v>0</v>
      </c>
      <c r="F101" s="101">
        <v>1</v>
      </c>
      <c r="G101" s="101"/>
      <c r="H101" s="101"/>
      <c r="I101" s="101"/>
      <c r="J101" s="101"/>
      <c r="K101" s="101"/>
      <c r="L101" s="101"/>
      <c r="M101" s="101"/>
      <c r="N101" s="101"/>
      <c r="O101" s="100"/>
      <c r="P101" s="2"/>
      <c r="Q101" s="6">
        <f t="shared" si="49"/>
        <v>1</v>
      </c>
      <c r="R101" s="4"/>
      <c r="S101" s="17">
        <v>18</v>
      </c>
      <c r="T101" s="49">
        <f t="shared" si="50"/>
        <v>19</v>
      </c>
      <c r="U101" s="17"/>
      <c r="V101" s="61">
        <f t="shared" si="35"/>
        <v>0</v>
      </c>
      <c r="W101" s="61">
        <f t="shared" si="51"/>
        <v>0</v>
      </c>
      <c r="X101" s="7"/>
      <c r="Y101" s="5"/>
      <c r="Z101" s="101">
        <v>2</v>
      </c>
      <c r="AA101" s="101">
        <v>0</v>
      </c>
      <c r="AB101" s="101"/>
      <c r="AC101" s="101"/>
      <c r="AD101" s="101"/>
      <c r="AE101" s="101"/>
      <c r="AF101" s="101"/>
      <c r="AG101" s="101"/>
      <c r="AH101" s="101"/>
      <c r="AI101" s="101"/>
      <c r="AJ101" s="100"/>
      <c r="AK101" s="2"/>
      <c r="AL101" s="6">
        <f t="shared" si="36"/>
        <v>2</v>
      </c>
      <c r="AM101" s="101">
        <v>0</v>
      </c>
      <c r="AN101" s="101">
        <v>1</v>
      </c>
      <c r="AO101" s="101"/>
      <c r="AP101" s="101"/>
      <c r="AQ101" s="101"/>
      <c r="AR101" s="101"/>
      <c r="AS101" s="101"/>
      <c r="AT101" s="101"/>
      <c r="AU101" s="101"/>
      <c r="AV101" s="101"/>
      <c r="AW101" s="100"/>
      <c r="AX101" s="2"/>
      <c r="AY101" s="6">
        <f t="shared" si="37"/>
        <v>1</v>
      </c>
    </row>
    <row r="102" spans="1:51" s="65" customFormat="1" ht="15" thickBot="1">
      <c r="A102" s="1" t="s">
        <v>159</v>
      </c>
      <c r="B102" s="103" t="s">
        <v>155</v>
      </c>
      <c r="C102" s="63"/>
      <c r="D102" s="63"/>
      <c r="E102" s="101">
        <v>1</v>
      </c>
      <c r="F102" s="101">
        <v>2</v>
      </c>
      <c r="G102" s="101"/>
      <c r="H102" s="101"/>
      <c r="I102" s="101"/>
      <c r="J102" s="101"/>
      <c r="K102" s="101"/>
      <c r="L102" s="101"/>
      <c r="M102" s="101"/>
      <c r="N102" s="101"/>
      <c r="O102" s="100"/>
      <c r="P102" s="2"/>
      <c r="Q102" s="6">
        <f t="shared" si="49"/>
        <v>3</v>
      </c>
      <c r="R102" s="4"/>
      <c r="S102" s="17">
        <v>107</v>
      </c>
      <c r="T102" s="49">
        <f t="shared" si="50"/>
        <v>108</v>
      </c>
      <c r="U102" s="17"/>
      <c r="V102" s="61">
        <f t="shared" si="35"/>
        <v>0</v>
      </c>
      <c r="W102" s="61">
        <f t="shared" si="51"/>
        <v>0</v>
      </c>
      <c r="X102" s="7"/>
      <c r="Y102" s="5"/>
      <c r="Z102" s="101">
        <v>1</v>
      </c>
      <c r="AA102" s="101">
        <v>0</v>
      </c>
      <c r="AB102" s="101"/>
      <c r="AC102" s="101"/>
      <c r="AD102" s="101"/>
      <c r="AE102" s="101"/>
      <c r="AF102" s="101"/>
      <c r="AG102" s="101"/>
      <c r="AH102" s="101"/>
      <c r="AI102" s="101"/>
      <c r="AJ102" s="100"/>
      <c r="AK102" s="2"/>
      <c r="AL102" s="6">
        <f t="shared" si="36"/>
        <v>1</v>
      </c>
      <c r="AM102" s="101">
        <v>0</v>
      </c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0"/>
      <c r="AX102" s="2"/>
      <c r="AY102" s="6">
        <f t="shared" si="37"/>
        <v>0</v>
      </c>
    </row>
    <row r="103" spans="1:51" s="65" customFormat="1" ht="15" thickBot="1">
      <c r="A103" s="1" t="s">
        <v>159</v>
      </c>
      <c r="B103" s="103" t="s">
        <v>156</v>
      </c>
      <c r="C103" s="63"/>
      <c r="D103" s="63"/>
      <c r="E103" s="101">
        <v>1</v>
      </c>
      <c r="F103" s="101">
        <v>1</v>
      </c>
      <c r="G103" s="101"/>
      <c r="H103" s="101"/>
      <c r="I103" s="101"/>
      <c r="J103" s="101"/>
      <c r="K103" s="101"/>
      <c r="L103" s="101"/>
      <c r="M103" s="101"/>
      <c r="N103" s="101"/>
      <c r="O103" s="100"/>
      <c r="P103" s="2"/>
      <c r="Q103" s="6">
        <f t="shared" si="49"/>
        <v>2</v>
      </c>
      <c r="R103" s="4"/>
      <c r="S103" s="17">
        <v>85</v>
      </c>
      <c r="T103" s="49">
        <f t="shared" si="50"/>
        <v>86</v>
      </c>
      <c r="U103" s="17"/>
      <c r="V103" s="61">
        <f t="shared" si="35"/>
        <v>0</v>
      </c>
      <c r="W103" s="61">
        <f t="shared" si="51"/>
        <v>0</v>
      </c>
      <c r="X103" s="7"/>
      <c r="Y103" s="5"/>
      <c r="Z103" s="101">
        <v>2</v>
      </c>
      <c r="AA103" s="101">
        <v>0</v>
      </c>
      <c r="AB103" s="101"/>
      <c r="AC103" s="101"/>
      <c r="AD103" s="101"/>
      <c r="AE103" s="101"/>
      <c r="AF103" s="101"/>
      <c r="AG103" s="101"/>
      <c r="AH103" s="101"/>
      <c r="AI103" s="101"/>
      <c r="AJ103" s="100"/>
      <c r="AK103" s="2"/>
      <c r="AL103" s="6">
        <f t="shared" si="36"/>
        <v>2</v>
      </c>
      <c r="AM103" s="101">
        <v>0</v>
      </c>
      <c r="AN103" s="101">
        <v>1</v>
      </c>
      <c r="AO103" s="101"/>
      <c r="AP103" s="101"/>
      <c r="AQ103" s="101"/>
      <c r="AR103" s="101"/>
      <c r="AS103" s="101"/>
      <c r="AT103" s="101"/>
      <c r="AU103" s="101"/>
      <c r="AV103" s="101"/>
      <c r="AW103" s="100"/>
      <c r="AX103" s="2"/>
      <c r="AY103" s="6">
        <f t="shared" si="37"/>
        <v>1</v>
      </c>
    </row>
    <row r="104" spans="1:51" s="65" customFormat="1" ht="15" thickBot="1">
      <c r="A104" s="1" t="s">
        <v>159</v>
      </c>
      <c r="B104" s="103" t="s">
        <v>157</v>
      </c>
      <c r="C104" s="63"/>
      <c r="D104" s="63"/>
      <c r="E104" s="101">
        <v>11</v>
      </c>
      <c r="F104" s="101">
        <v>30</v>
      </c>
      <c r="G104" s="101"/>
      <c r="H104" s="101"/>
      <c r="I104" s="101"/>
      <c r="J104" s="101"/>
      <c r="K104" s="101"/>
      <c r="L104" s="101"/>
      <c r="M104" s="101"/>
      <c r="N104" s="101"/>
      <c r="O104" s="100"/>
      <c r="P104" s="2"/>
      <c r="Q104" s="6">
        <f t="shared" si="49"/>
        <v>41</v>
      </c>
      <c r="R104" s="4"/>
      <c r="S104" s="17">
        <v>243</v>
      </c>
      <c r="T104" s="49">
        <f t="shared" si="50"/>
        <v>245</v>
      </c>
      <c r="U104" s="17"/>
      <c r="V104" s="61">
        <f t="shared" si="35"/>
        <v>0</v>
      </c>
      <c r="W104" s="61">
        <f t="shared" si="51"/>
        <v>0</v>
      </c>
      <c r="X104" s="7"/>
      <c r="Y104" s="5"/>
      <c r="Z104" s="101">
        <v>2</v>
      </c>
      <c r="AA104" s="101">
        <v>1</v>
      </c>
      <c r="AB104" s="101"/>
      <c r="AC104" s="101"/>
      <c r="AD104" s="101"/>
      <c r="AE104" s="101"/>
      <c r="AF104" s="101"/>
      <c r="AG104" s="101"/>
      <c r="AH104" s="101"/>
      <c r="AI104" s="101"/>
      <c r="AJ104" s="100"/>
      <c r="AK104" s="2"/>
      <c r="AL104" s="6">
        <f t="shared" si="36"/>
        <v>3</v>
      </c>
      <c r="AM104" s="101">
        <v>0</v>
      </c>
      <c r="AN104" s="101">
        <v>1</v>
      </c>
      <c r="AO104" s="101"/>
      <c r="AP104" s="101"/>
      <c r="AQ104" s="101"/>
      <c r="AR104" s="101"/>
      <c r="AS104" s="101"/>
      <c r="AT104" s="101"/>
      <c r="AU104" s="101"/>
      <c r="AV104" s="101"/>
      <c r="AW104" s="100"/>
      <c r="AX104" s="2"/>
      <c r="AY104" s="6">
        <f t="shared" si="37"/>
        <v>1</v>
      </c>
    </row>
    <row r="105" spans="1:51" s="65" customFormat="1" ht="15" thickBot="1">
      <c r="A105" s="1" t="s">
        <v>159</v>
      </c>
      <c r="B105" s="103" t="s">
        <v>158</v>
      </c>
      <c r="C105" s="63"/>
      <c r="D105" s="63"/>
      <c r="E105" s="101">
        <v>1</v>
      </c>
      <c r="F105" s="101">
        <v>5</v>
      </c>
      <c r="G105" s="101"/>
      <c r="H105" s="101"/>
      <c r="I105" s="101"/>
      <c r="J105" s="101"/>
      <c r="K105" s="101"/>
      <c r="L105" s="101"/>
      <c r="M105" s="101"/>
      <c r="N105" s="101"/>
      <c r="O105" s="100"/>
      <c r="P105" s="2"/>
      <c r="Q105" s="6">
        <f t="shared" si="49"/>
        <v>6</v>
      </c>
      <c r="R105" s="4"/>
      <c r="S105" s="17">
        <v>144</v>
      </c>
      <c r="T105" s="49">
        <f t="shared" si="50"/>
        <v>137</v>
      </c>
      <c r="U105" s="17"/>
      <c r="V105" s="61">
        <f t="shared" si="35"/>
        <v>0</v>
      </c>
      <c r="W105" s="61">
        <f t="shared" si="51"/>
        <v>0</v>
      </c>
      <c r="X105" s="7"/>
      <c r="Y105" s="5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0"/>
      <c r="AK105" s="2"/>
      <c r="AL105" s="6">
        <f t="shared" si="36"/>
        <v>0</v>
      </c>
      <c r="AM105" s="101">
        <v>2</v>
      </c>
      <c r="AN105" s="101">
        <v>5</v>
      </c>
      <c r="AO105" s="101"/>
      <c r="AP105" s="101"/>
      <c r="AQ105" s="101"/>
      <c r="AR105" s="101"/>
      <c r="AS105" s="101"/>
      <c r="AT105" s="101"/>
      <c r="AU105" s="101"/>
      <c r="AV105" s="101"/>
      <c r="AW105" s="100"/>
      <c r="AX105" s="2"/>
      <c r="AY105" s="6">
        <f t="shared" si="37"/>
        <v>7</v>
      </c>
    </row>
    <row r="106" spans="1:51" s="65" customFormat="1" ht="15" thickBot="1">
      <c r="A106" s="196" t="s">
        <v>206</v>
      </c>
      <c r="B106" s="197"/>
      <c r="C106" s="45">
        <f>+D106/Metas!H33</f>
        <v>1.5322833592998801</v>
      </c>
      <c r="D106" s="19">
        <f>+Q106/R106</f>
        <v>0.04137165070109677</v>
      </c>
      <c r="E106" s="14">
        <f aca="true" t="shared" si="52" ref="E106:P106">SUM(E90:E105)</f>
        <v>176</v>
      </c>
      <c r="F106" s="14">
        <f t="shared" si="52"/>
        <v>122</v>
      </c>
      <c r="G106" s="14">
        <f t="shared" si="52"/>
        <v>0</v>
      </c>
      <c r="H106" s="14">
        <f t="shared" si="52"/>
        <v>0</v>
      </c>
      <c r="I106" s="14">
        <f t="shared" si="52"/>
        <v>0</v>
      </c>
      <c r="J106" s="14">
        <f>SUM(J90:J105)</f>
        <v>0</v>
      </c>
      <c r="K106" s="14">
        <f t="shared" si="52"/>
        <v>0</v>
      </c>
      <c r="L106" s="14">
        <f t="shared" si="52"/>
        <v>0</v>
      </c>
      <c r="M106" s="14">
        <f t="shared" si="52"/>
        <v>0</v>
      </c>
      <c r="N106" s="14">
        <f t="shared" si="52"/>
        <v>0</v>
      </c>
      <c r="O106" s="14">
        <f t="shared" si="52"/>
        <v>0</v>
      </c>
      <c r="P106" s="14">
        <f t="shared" si="52"/>
        <v>0</v>
      </c>
      <c r="Q106" s="14">
        <f>SUM(Q90:Q105)</f>
        <v>298</v>
      </c>
      <c r="R106" s="15">
        <f>+Y106-T106</f>
        <v>7203</v>
      </c>
      <c r="S106" s="14">
        <f aca="true" t="shared" si="53" ref="S106:X106">SUM(S90:S105)</f>
        <v>3797</v>
      </c>
      <c r="T106" s="14">
        <f t="shared" si="53"/>
        <v>3837</v>
      </c>
      <c r="U106" s="14">
        <f t="shared" si="53"/>
        <v>0</v>
      </c>
      <c r="V106" s="13">
        <f t="shared" si="53"/>
        <v>0</v>
      </c>
      <c r="W106" s="46">
        <f t="shared" si="53"/>
        <v>0</v>
      </c>
      <c r="X106" s="46">
        <f t="shared" si="53"/>
        <v>0</v>
      </c>
      <c r="Y106" s="16">
        <v>11040</v>
      </c>
      <c r="Z106" s="13">
        <f>SUM(Z90:Z105)</f>
        <v>31</v>
      </c>
      <c r="AA106" s="13">
        <f aca="true" t="shared" si="54" ref="AA106:AK106">SUM(AA90:AA105)</f>
        <v>25</v>
      </c>
      <c r="AB106" s="13">
        <f t="shared" si="54"/>
        <v>0</v>
      </c>
      <c r="AC106" s="13">
        <f t="shared" si="54"/>
        <v>0</v>
      </c>
      <c r="AD106" s="13">
        <f t="shared" si="54"/>
        <v>0</v>
      </c>
      <c r="AE106" s="13">
        <f t="shared" si="54"/>
        <v>0</v>
      </c>
      <c r="AF106" s="13">
        <f t="shared" si="54"/>
        <v>0</v>
      </c>
      <c r="AG106" s="13">
        <f t="shared" si="54"/>
        <v>0</v>
      </c>
      <c r="AH106" s="13">
        <f t="shared" si="54"/>
        <v>0</v>
      </c>
      <c r="AI106" s="13">
        <f t="shared" si="54"/>
        <v>0</v>
      </c>
      <c r="AJ106" s="13">
        <f t="shared" si="54"/>
        <v>0</v>
      </c>
      <c r="AK106" s="13">
        <f t="shared" si="54"/>
        <v>0</v>
      </c>
      <c r="AL106" s="13">
        <f t="shared" si="36"/>
        <v>56</v>
      </c>
      <c r="AM106" s="13">
        <f aca="true" t="shared" si="55" ref="AM106:AX106">SUM(AM90:AM105)</f>
        <v>6</v>
      </c>
      <c r="AN106" s="13">
        <f t="shared" si="55"/>
        <v>10</v>
      </c>
      <c r="AO106" s="13">
        <f t="shared" si="55"/>
        <v>0</v>
      </c>
      <c r="AP106" s="13">
        <f t="shared" si="55"/>
        <v>0</v>
      </c>
      <c r="AQ106" s="13">
        <f t="shared" si="55"/>
        <v>0</v>
      </c>
      <c r="AR106" s="13">
        <f t="shared" si="55"/>
        <v>0</v>
      </c>
      <c r="AS106" s="13">
        <f t="shared" si="55"/>
        <v>0</v>
      </c>
      <c r="AT106" s="13">
        <f t="shared" si="55"/>
        <v>0</v>
      </c>
      <c r="AU106" s="13">
        <f t="shared" si="55"/>
        <v>0</v>
      </c>
      <c r="AV106" s="13">
        <f t="shared" si="55"/>
        <v>0</v>
      </c>
      <c r="AW106" s="13">
        <f t="shared" si="55"/>
        <v>0</v>
      </c>
      <c r="AX106" s="13">
        <f t="shared" si="55"/>
        <v>0</v>
      </c>
      <c r="AY106" s="13">
        <f t="shared" si="37"/>
        <v>16</v>
      </c>
    </row>
    <row r="107" spans="1:51" s="65" customFormat="1" ht="15" thickBot="1">
      <c r="A107" s="1" t="s">
        <v>172</v>
      </c>
      <c r="B107" s="103" t="s">
        <v>160</v>
      </c>
      <c r="C107" s="63"/>
      <c r="D107" s="63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0"/>
      <c r="P107" s="2"/>
      <c r="Q107" s="6">
        <f aca="true" t="shared" si="56" ref="Q107:Q118">SUM(E107:P107)</f>
        <v>0</v>
      </c>
      <c r="R107" s="4"/>
      <c r="S107" s="17">
        <v>3</v>
      </c>
      <c r="T107" s="49">
        <f aca="true" t="shared" si="57" ref="T107:T118">+S107+(Z107+AA107+AB107)-(AM107+AN107+AO107)</f>
        <v>3</v>
      </c>
      <c r="U107" s="17"/>
      <c r="V107" s="61">
        <f t="shared" si="35"/>
        <v>0</v>
      </c>
      <c r="W107" s="61">
        <f aca="true" t="shared" si="58" ref="W107:W118">+U107+(AF107+AG107+AH107+AI107)-(AS107+AT107+AU107+AV107)</f>
        <v>0</v>
      </c>
      <c r="X107" s="7"/>
      <c r="Y107" s="5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0"/>
      <c r="AK107" s="2"/>
      <c r="AL107" s="6">
        <f t="shared" si="36"/>
        <v>0</v>
      </c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0"/>
      <c r="AX107" s="100"/>
      <c r="AY107" s="6">
        <f t="shared" si="37"/>
        <v>0</v>
      </c>
    </row>
    <row r="108" spans="1:51" s="65" customFormat="1" ht="15" thickBot="1">
      <c r="A108" s="1" t="s">
        <v>172</v>
      </c>
      <c r="B108" s="103" t="s">
        <v>161</v>
      </c>
      <c r="C108" s="63"/>
      <c r="D108" s="63"/>
      <c r="E108" s="101">
        <v>0</v>
      </c>
      <c r="F108" s="101"/>
      <c r="G108" s="101"/>
      <c r="H108" s="101"/>
      <c r="I108" s="101"/>
      <c r="J108" s="101"/>
      <c r="K108" s="101"/>
      <c r="L108" s="101"/>
      <c r="M108" s="101"/>
      <c r="N108" s="101"/>
      <c r="O108" s="100"/>
      <c r="P108" s="2"/>
      <c r="Q108" s="6">
        <f t="shared" si="56"/>
        <v>0</v>
      </c>
      <c r="R108" s="4"/>
      <c r="S108" s="17">
        <v>42</v>
      </c>
      <c r="T108" s="49">
        <f t="shared" si="57"/>
        <v>42</v>
      </c>
      <c r="U108" s="17"/>
      <c r="V108" s="61">
        <f t="shared" si="35"/>
        <v>0</v>
      </c>
      <c r="W108" s="61">
        <f t="shared" si="58"/>
        <v>0</v>
      </c>
      <c r="X108" s="7"/>
      <c r="Y108" s="5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0"/>
      <c r="AK108" s="2"/>
      <c r="AL108" s="6">
        <f t="shared" si="36"/>
        <v>0</v>
      </c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0"/>
      <c r="AX108" s="100"/>
      <c r="AY108" s="6">
        <f t="shared" si="37"/>
        <v>0</v>
      </c>
    </row>
    <row r="109" spans="1:51" s="65" customFormat="1" ht="15" thickBot="1">
      <c r="A109" s="1" t="s">
        <v>172</v>
      </c>
      <c r="B109" s="103" t="s">
        <v>162</v>
      </c>
      <c r="C109" s="63"/>
      <c r="D109" s="63"/>
      <c r="E109" s="101">
        <v>0</v>
      </c>
      <c r="F109" s="101"/>
      <c r="G109" s="101"/>
      <c r="H109" s="101"/>
      <c r="I109" s="101"/>
      <c r="J109" s="101"/>
      <c r="K109" s="101"/>
      <c r="L109" s="101"/>
      <c r="M109" s="101"/>
      <c r="N109" s="101"/>
      <c r="O109" s="100"/>
      <c r="P109" s="2"/>
      <c r="Q109" s="6">
        <f t="shared" si="56"/>
        <v>0</v>
      </c>
      <c r="R109" s="4"/>
      <c r="S109" s="17">
        <v>22</v>
      </c>
      <c r="T109" s="49">
        <f t="shared" si="57"/>
        <v>22</v>
      </c>
      <c r="U109" s="17"/>
      <c r="V109" s="61">
        <f t="shared" si="35"/>
        <v>0</v>
      </c>
      <c r="W109" s="61">
        <f t="shared" si="58"/>
        <v>0</v>
      </c>
      <c r="X109" s="7"/>
      <c r="Y109" s="5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0"/>
      <c r="AK109" s="2"/>
      <c r="AL109" s="6">
        <f t="shared" si="36"/>
        <v>0</v>
      </c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0"/>
      <c r="AX109" s="100"/>
      <c r="AY109" s="6">
        <f t="shared" si="37"/>
        <v>0</v>
      </c>
    </row>
    <row r="110" spans="1:51" s="65" customFormat="1" ht="15" thickBot="1">
      <c r="A110" s="1" t="s">
        <v>172</v>
      </c>
      <c r="B110" s="103" t="s">
        <v>163</v>
      </c>
      <c r="C110" s="63"/>
      <c r="D110" s="63"/>
      <c r="E110" s="101">
        <v>0</v>
      </c>
      <c r="F110" s="101">
        <v>1</v>
      </c>
      <c r="G110" s="101"/>
      <c r="H110" s="101"/>
      <c r="I110" s="101"/>
      <c r="J110" s="101"/>
      <c r="K110" s="101"/>
      <c r="L110" s="101"/>
      <c r="M110" s="101"/>
      <c r="N110" s="101"/>
      <c r="O110" s="100"/>
      <c r="P110" s="2"/>
      <c r="Q110" s="6">
        <f t="shared" si="56"/>
        <v>1</v>
      </c>
      <c r="R110" s="4"/>
      <c r="S110" s="17">
        <v>38</v>
      </c>
      <c r="T110" s="49">
        <f t="shared" si="57"/>
        <v>38</v>
      </c>
      <c r="U110" s="17"/>
      <c r="V110" s="61">
        <f t="shared" si="35"/>
        <v>0</v>
      </c>
      <c r="W110" s="61">
        <f t="shared" si="58"/>
        <v>0</v>
      </c>
      <c r="X110" s="7"/>
      <c r="Y110" s="5"/>
      <c r="Z110" s="101">
        <v>0</v>
      </c>
      <c r="AA110" s="101">
        <v>0</v>
      </c>
      <c r="AB110" s="101"/>
      <c r="AC110" s="101"/>
      <c r="AD110" s="101"/>
      <c r="AE110" s="101"/>
      <c r="AF110" s="101"/>
      <c r="AG110" s="101"/>
      <c r="AH110" s="101"/>
      <c r="AI110" s="101"/>
      <c r="AJ110" s="100"/>
      <c r="AK110" s="2"/>
      <c r="AL110" s="6">
        <f t="shared" si="36"/>
        <v>0</v>
      </c>
      <c r="AM110" s="101">
        <v>0</v>
      </c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0"/>
      <c r="AX110" s="100"/>
      <c r="AY110" s="6">
        <f t="shared" si="37"/>
        <v>0</v>
      </c>
    </row>
    <row r="111" spans="1:51" s="65" customFormat="1" ht="15" thickBot="1">
      <c r="A111" s="1" t="s">
        <v>172</v>
      </c>
      <c r="B111" s="103" t="s">
        <v>164</v>
      </c>
      <c r="C111" s="63"/>
      <c r="D111" s="63"/>
      <c r="E111" s="101">
        <v>1</v>
      </c>
      <c r="F111" s="101"/>
      <c r="G111" s="101"/>
      <c r="H111" s="101"/>
      <c r="I111" s="101"/>
      <c r="J111" s="101"/>
      <c r="K111" s="101"/>
      <c r="L111" s="101"/>
      <c r="M111" s="101"/>
      <c r="N111" s="101"/>
      <c r="O111" s="100"/>
      <c r="P111" s="2"/>
      <c r="Q111" s="6">
        <f t="shared" si="56"/>
        <v>1</v>
      </c>
      <c r="R111" s="4"/>
      <c r="S111" s="17">
        <v>53</v>
      </c>
      <c r="T111" s="49">
        <f t="shared" si="57"/>
        <v>51</v>
      </c>
      <c r="U111" s="17"/>
      <c r="V111" s="61">
        <f t="shared" si="35"/>
        <v>0</v>
      </c>
      <c r="W111" s="61">
        <f t="shared" si="58"/>
        <v>0</v>
      </c>
      <c r="X111" s="7"/>
      <c r="Y111" s="5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0"/>
      <c r="AK111" s="2"/>
      <c r="AL111" s="6">
        <f t="shared" si="36"/>
        <v>0</v>
      </c>
      <c r="AM111" s="101">
        <v>2</v>
      </c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0"/>
      <c r="AX111" s="100"/>
      <c r="AY111" s="6">
        <f t="shared" si="37"/>
        <v>2</v>
      </c>
    </row>
    <row r="112" spans="1:51" s="65" customFormat="1" ht="15" thickBot="1">
      <c r="A112" s="1" t="s">
        <v>172</v>
      </c>
      <c r="B112" s="103" t="s">
        <v>165</v>
      </c>
      <c r="C112" s="63"/>
      <c r="D112" s="63"/>
      <c r="E112" s="101">
        <v>1</v>
      </c>
      <c r="F112" s="101"/>
      <c r="G112" s="101"/>
      <c r="H112" s="101"/>
      <c r="I112" s="101"/>
      <c r="J112" s="101"/>
      <c r="K112" s="101"/>
      <c r="L112" s="101"/>
      <c r="M112" s="101"/>
      <c r="N112" s="101"/>
      <c r="O112" s="100"/>
      <c r="P112" s="2"/>
      <c r="Q112" s="6">
        <f t="shared" si="56"/>
        <v>1</v>
      </c>
      <c r="R112" s="4"/>
      <c r="S112" s="17">
        <v>10</v>
      </c>
      <c r="T112" s="49">
        <f t="shared" si="57"/>
        <v>10</v>
      </c>
      <c r="U112" s="17"/>
      <c r="V112" s="61">
        <f t="shared" si="35"/>
        <v>0</v>
      </c>
      <c r="W112" s="61">
        <f t="shared" si="58"/>
        <v>0</v>
      </c>
      <c r="X112" s="7"/>
      <c r="Y112" s="5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0"/>
      <c r="AK112" s="2"/>
      <c r="AL112" s="6">
        <f t="shared" si="36"/>
        <v>0</v>
      </c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0"/>
      <c r="AX112" s="100"/>
      <c r="AY112" s="6">
        <f t="shared" si="37"/>
        <v>0</v>
      </c>
    </row>
    <row r="113" spans="1:51" s="65" customFormat="1" ht="15" thickBot="1">
      <c r="A113" s="1" t="s">
        <v>172</v>
      </c>
      <c r="B113" s="103" t="s">
        <v>166</v>
      </c>
      <c r="C113" s="63"/>
      <c r="D113" s="63"/>
      <c r="E113" s="101">
        <v>0</v>
      </c>
      <c r="F113" s="101"/>
      <c r="G113" s="101"/>
      <c r="H113" s="101"/>
      <c r="I113" s="101"/>
      <c r="J113" s="101"/>
      <c r="K113" s="101"/>
      <c r="L113" s="101"/>
      <c r="M113" s="101"/>
      <c r="N113" s="101"/>
      <c r="O113" s="100"/>
      <c r="P113" s="2"/>
      <c r="Q113" s="6">
        <f t="shared" si="56"/>
        <v>0</v>
      </c>
      <c r="R113" s="4"/>
      <c r="S113" s="17">
        <v>20</v>
      </c>
      <c r="T113" s="49">
        <f t="shared" si="57"/>
        <v>20</v>
      </c>
      <c r="U113" s="17"/>
      <c r="V113" s="61">
        <f t="shared" si="35"/>
        <v>0</v>
      </c>
      <c r="W113" s="61">
        <f t="shared" si="58"/>
        <v>0</v>
      </c>
      <c r="X113" s="7"/>
      <c r="Y113" s="5"/>
      <c r="Z113" s="101">
        <v>0</v>
      </c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0"/>
      <c r="AK113" s="2"/>
      <c r="AL113" s="6">
        <f t="shared" si="36"/>
        <v>0</v>
      </c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0"/>
      <c r="AX113" s="100"/>
      <c r="AY113" s="6">
        <f t="shared" si="37"/>
        <v>0</v>
      </c>
    </row>
    <row r="114" spans="1:51" s="65" customFormat="1" ht="15" thickBot="1">
      <c r="A114" s="1" t="s">
        <v>172</v>
      </c>
      <c r="B114" s="103" t="s">
        <v>167</v>
      </c>
      <c r="C114" s="63"/>
      <c r="D114" s="63"/>
      <c r="E114" s="101">
        <v>0</v>
      </c>
      <c r="F114" s="101"/>
      <c r="G114" s="101"/>
      <c r="H114" s="101"/>
      <c r="I114" s="101"/>
      <c r="J114" s="101"/>
      <c r="K114" s="101"/>
      <c r="L114" s="101"/>
      <c r="M114" s="101"/>
      <c r="N114" s="101"/>
      <c r="O114" s="100"/>
      <c r="P114" s="2"/>
      <c r="Q114" s="6">
        <f t="shared" si="56"/>
        <v>0</v>
      </c>
      <c r="R114" s="4"/>
      <c r="S114" s="17">
        <v>48</v>
      </c>
      <c r="T114" s="49">
        <f t="shared" si="57"/>
        <v>50</v>
      </c>
      <c r="U114" s="17"/>
      <c r="V114" s="61">
        <f t="shared" si="35"/>
        <v>0</v>
      </c>
      <c r="W114" s="61">
        <f t="shared" si="58"/>
        <v>0</v>
      </c>
      <c r="X114" s="7"/>
      <c r="Y114" s="5"/>
      <c r="Z114" s="101">
        <v>2</v>
      </c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0"/>
      <c r="AK114" s="2"/>
      <c r="AL114" s="6">
        <f t="shared" si="36"/>
        <v>2</v>
      </c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0"/>
      <c r="AX114" s="100"/>
      <c r="AY114" s="6">
        <f t="shared" si="37"/>
        <v>0</v>
      </c>
    </row>
    <row r="115" spans="1:51" s="65" customFormat="1" ht="15" thickBot="1">
      <c r="A115" s="1" t="s">
        <v>172</v>
      </c>
      <c r="B115" s="103" t="s">
        <v>168</v>
      </c>
      <c r="C115" s="63"/>
      <c r="D115" s="63"/>
      <c r="E115" s="101">
        <v>0</v>
      </c>
      <c r="F115" s="101"/>
      <c r="G115" s="101"/>
      <c r="H115" s="101"/>
      <c r="I115" s="101"/>
      <c r="J115" s="101"/>
      <c r="K115" s="101"/>
      <c r="L115" s="101"/>
      <c r="M115" s="101"/>
      <c r="N115" s="101"/>
      <c r="O115" s="100"/>
      <c r="P115" s="2"/>
      <c r="Q115" s="6">
        <f t="shared" si="56"/>
        <v>0</v>
      </c>
      <c r="R115" s="4"/>
      <c r="S115" s="17">
        <v>29</v>
      </c>
      <c r="T115" s="49">
        <f t="shared" si="57"/>
        <v>29</v>
      </c>
      <c r="U115" s="17"/>
      <c r="V115" s="61">
        <f t="shared" si="35"/>
        <v>0</v>
      </c>
      <c r="W115" s="61">
        <f t="shared" si="58"/>
        <v>0</v>
      </c>
      <c r="X115" s="7"/>
      <c r="Y115" s="5"/>
      <c r="Z115" s="101">
        <v>0</v>
      </c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0"/>
      <c r="AK115" s="2"/>
      <c r="AL115" s="6">
        <f t="shared" si="36"/>
        <v>0</v>
      </c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0"/>
      <c r="AX115" s="100"/>
      <c r="AY115" s="6">
        <f t="shared" si="37"/>
        <v>0</v>
      </c>
    </row>
    <row r="116" spans="1:51" s="65" customFormat="1" ht="15" thickBot="1">
      <c r="A116" s="1" t="s">
        <v>172</v>
      </c>
      <c r="B116" s="103" t="s">
        <v>169</v>
      </c>
      <c r="C116" s="63"/>
      <c r="D116" s="63"/>
      <c r="E116" s="101">
        <v>0</v>
      </c>
      <c r="F116" s="101"/>
      <c r="G116" s="101"/>
      <c r="H116" s="101"/>
      <c r="I116" s="101"/>
      <c r="J116" s="101"/>
      <c r="K116" s="101"/>
      <c r="L116" s="101"/>
      <c r="M116" s="101"/>
      <c r="N116" s="101"/>
      <c r="O116" s="100"/>
      <c r="P116" s="2"/>
      <c r="Q116" s="6">
        <f t="shared" si="56"/>
        <v>0</v>
      </c>
      <c r="R116" s="4"/>
      <c r="S116" s="17">
        <v>20</v>
      </c>
      <c r="T116" s="49">
        <f t="shared" si="57"/>
        <v>20</v>
      </c>
      <c r="U116" s="17"/>
      <c r="V116" s="61">
        <f t="shared" si="35"/>
        <v>0</v>
      </c>
      <c r="W116" s="61">
        <f t="shared" si="58"/>
        <v>0</v>
      </c>
      <c r="X116" s="7"/>
      <c r="Y116" s="5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0"/>
      <c r="AK116" s="2"/>
      <c r="AL116" s="6">
        <f t="shared" si="36"/>
        <v>0</v>
      </c>
      <c r="AM116" s="101">
        <v>0</v>
      </c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0"/>
      <c r="AX116" s="100"/>
      <c r="AY116" s="6">
        <f t="shared" si="37"/>
        <v>0</v>
      </c>
    </row>
    <row r="117" spans="1:51" s="65" customFormat="1" ht="15" thickBot="1">
      <c r="A117" s="1" t="s">
        <v>172</v>
      </c>
      <c r="B117" s="103" t="s">
        <v>170</v>
      </c>
      <c r="C117" s="63"/>
      <c r="D117" s="63"/>
      <c r="E117" s="101">
        <v>1</v>
      </c>
      <c r="F117" s="101"/>
      <c r="G117" s="101"/>
      <c r="H117" s="101"/>
      <c r="I117" s="101"/>
      <c r="J117" s="101"/>
      <c r="K117" s="101"/>
      <c r="L117" s="101"/>
      <c r="M117" s="101"/>
      <c r="N117" s="101"/>
      <c r="O117" s="100"/>
      <c r="P117" s="2"/>
      <c r="Q117" s="6">
        <f t="shared" si="56"/>
        <v>1</v>
      </c>
      <c r="R117" s="4"/>
      <c r="S117" s="17">
        <v>14</v>
      </c>
      <c r="T117" s="49">
        <f t="shared" si="57"/>
        <v>14</v>
      </c>
      <c r="U117" s="17"/>
      <c r="V117" s="61">
        <f t="shared" si="35"/>
        <v>0</v>
      </c>
      <c r="W117" s="61">
        <f t="shared" si="58"/>
        <v>0</v>
      </c>
      <c r="X117" s="7"/>
      <c r="Y117" s="5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0"/>
      <c r="AK117" s="2"/>
      <c r="AL117" s="6">
        <f t="shared" si="36"/>
        <v>0</v>
      </c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0"/>
      <c r="AX117" s="100"/>
      <c r="AY117" s="6">
        <f t="shared" si="37"/>
        <v>0</v>
      </c>
    </row>
    <row r="118" spans="1:51" s="65" customFormat="1" ht="15" thickBot="1">
      <c r="A118" s="1" t="s">
        <v>172</v>
      </c>
      <c r="B118" s="103" t="s">
        <v>171</v>
      </c>
      <c r="C118" s="63"/>
      <c r="D118" s="63"/>
      <c r="E118" s="101">
        <v>3</v>
      </c>
      <c r="F118" s="101"/>
      <c r="G118" s="101"/>
      <c r="H118" s="101"/>
      <c r="I118" s="101"/>
      <c r="J118" s="101"/>
      <c r="K118" s="101"/>
      <c r="L118" s="101"/>
      <c r="M118" s="101"/>
      <c r="N118" s="101"/>
      <c r="O118" s="100"/>
      <c r="P118" s="2"/>
      <c r="Q118" s="6">
        <f t="shared" si="56"/>
        <v>3</v>
      </c>
      <c r="R118" s="4"/>
      <c r="S118" s="17">
        <v>18</v>
      </c>
      <c r="T118" s="49">
        <f t="shared" si="57"/>
        <v>18</v>
      </c>
      <c r="U118" s="17"/>
      <c r="V118" s="61">
        <f t="shared" si="35"/>
        <v>0</v>
      </c>
      <c r="W118" s="61">
        <f t="shared" si="58"/>
        <v>0</v>
      </c>
      <c r="X118" s="7"/>
      <c r="Y118" s="5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0"/>
      <c r="AK118" s="2"/>
      <c r="AL118" s="6">
        <f t="shared" si="36"/>
        <v>0</v>
      </c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0"/>
      <c r="AX118" s="100"/>
      <c r="AY118" s="6">
        <f t="shared" si="37"/>
        <v>0</v>
      </c>
    </row>
    <row r="119" spans="1:51" s="65" customFormat="1" ht="15" thickBot="1">
      <c r="A119" s="196" t="s">
        <v>207</v>
      </c>
      <c r="B119" s="197"/>
      <c r="C119" s="45">
        <f>+D119/Metas!H27</f>
        <v>0.3469124789374566</v>
      </c>
      <c r="D119" s="19">
        <f>+Q119/R119</f>
        <v>0.013182674199623353</v>
      </c>
      <c r="E119" s="14">
        <f aca="true" t="shared" si="59" ref="E119:P119">SUM(E107:E118)</f>
        <v>6</v>
      </c>
      <c r="F119" s="14">
        <f t="shared" si="59"/>
        <v>1</v>
      </c>
      <c r="G119" s="14">
        <f t="shared" si="59"/>
        <v>0</v>
      </c>
      <c r="H119" s="14">
        <f t="shared" si="59"/>
        <v>0</v>
      </c>
      <c r="I119" s="14">
        <f t="shared" si="59"/>
        <v>0</v>
      </c>
      <c r="J119" s="14">
        <f t="shared" si="59"/>
        <v>0</v>
      </c>
      <c r="K119" s="14">
        <f t="shared" si="59"/>
        <v>0</v>
      </c>
      <c r="L119" s="14">
        <f t="shared" si="59"/>
        <v>0</v>
      </c>
      <c r="M119" s="14">
        <f t="shared" si="59"/>
        <v>0</v>
      </c>
      <c r="N119" s="14">
        <f t="shared" si="59"/>
        <v>0</v>
      </c>
      <c r="O119" s="14">
        <f t="shared" si="59"/>
        <v>0</v>
      </c>
      <c r="P119" s="14">
        <f t="shared" si="59"/>
        <v>0</v>
      </c>
      <c r="Q119" s="14">
        <f>SUM(Q107:Q118)</f>
        <v>7</v>
      </c>
      <c r="R119" s="15">
        <f>+Y119-T119</f>
        <v>531</v>
      </c>
      <c r="S119" s="14">
        <f aca="true" t="shared" si="60" ref="S119:X119">SUM(S107:S118)</f>
        <v>317</v>
      </c>
      <c r="T119" s="14">
        <f t="shared" si="60"/>
        <v>317</v>
      </c>
      <c r="U119" s="14">
        <f t="shared" si="60"/>
        <v>0</v>
      </c>
      <c r="V119" s="13">
        <f t="shared" si="60"/>
        <v>0</v>
      </c>
      <c r="W119" s="46">
        <f t="shared" si="60"/>
        <v>0</v>
      </c>
      <c r="X119" s="46">
        <f t="shared" si="60"/>
        <v>0</v>
      </c>
      <c r="Y119" s="16">
        <v>848</v>
      </c>
      <c r="Z119" s="13">
        <f>SUM(Z107:Z118)</f>
        <v>2</v>
      </c>
      <c r="AA119" s="13">
        <f aca="true" t="shared" si="61" ref="AA119:AK119">SUM(AA107:AA118)</f>
        <v>0</v>
      </c>
      <c r="AB119" s="13">
        <f t="shared" si="61"/>
        <v>0</v>
      </c>
      <c r="AC119" s="13">
        <f t="shared" si="61"/>
        <v>0</v>
      </c>
      <c r="AD119" s="13">
        <f t="shared" si="61"/>
        <v>0</v>
      </c>
      <c r="AE119" s="13">
        <f t="shared" si="61"/>
        <v>0</v>
      </c>
      <c r="AF119" s="13">
        <f t="shared" si="61"/>
        <v>0</v>
      </c>
      <c r="AG119" s="13">
        <f t="shared" si="61"/>
        <v>0</v>
      </c>
      <c r="AH119" s="13">
        <f t="shared" si="61"/>
        <v>0</v>
      </c>
      <c r="AI119" s="13">
        <f t="shared" si="61"/>
        <v>0</v>
      </c>
      <c r="AJ119" s="13">
        <f t="shared" si="61"/>
        <v>0</v>
      </c>
      <c r="AK119" s="13">
        <f t="shared" si="61"/>
        <v>0</v>
      </c>
      <c r="AL119" s="13">
        <f t="shared" si="36"/>
        <v>2</v>
      </c>
      <c r="AM119" s="13">
        <f aca="true" t="shared" si="62" ref="AM119:AX119">SUM(AM107:AM118)</f>
        <v>2</v>
      </c>
      <c r="AN119" s="13">
        <f t="shared" si="62"/>
        <v>0</v>
      </c>
      <c r="AO119" s="13">
        <f t="shared" si="62"/>
        <v>0</v>
      </c>
      <c r="AP119" s="13">
        <f t="shared" si="62"/>
        <v>0</v>
      </c>
      <c r="AQ119" s="13">
        <f t="shared" si="62"/>
        <v>0</v>
      </c>
      <c r="AR119" s="13">
        <f t="shared" si="62"/>
        <v>0</v>
      </c>
      <c r="AS119" s="13">
        <f t="shared" si="62"/>
        <v>0</v>
      </c>
      <c r="AT119" s="13">
        <f t="shared" si="62"/>
        <v>0</v>
      </c>
      <c r="AU119" s="13">
        <f t="shared" si="62"/>
        <v>0</v>
      </c>
      <c r="AV119" s="13">
        <f t="shared" si="62"/>
        <v>0</v>
      </c>
      <c r="AW119" s="13">
        <f t="shared" si="62"/>
        <v>0</v>
      </c>
      <c r="AX119" s="13">
        <f t="shared" si="62"/>
        <v>0</v>
      </c>
      <c r="AY119" s="13">
        <f t="shared" si="37"/>
        <v>2</v>
      </c>
    </row>
    <row r="120" spans="1:51" ht="15" thickBot="1">
      <c r="A120" s="110" t="s">
        <v>186</v>
      </c>
      <c r="B120" s="103" t="s">
        <v>173</v>
      </c>
      <c r="C120" s="63"/>
      <c r="D120" s="63"/>
      <c r="E120" s="101">
        <v>1</v>
      </c>
      <c r="F120" s="101">
        <v>2</v>
      </c>
      <c r="G120" s="101"/>
      <c r="H120" s="101"/>
      <c r="I120" s="101"/>
      <c r="J120" s="101"/>
      <c r="K120" s="101"/>
      <c r="L120" s="109"/>
      <c r="M120" s="109"/>
      <c r="N120" s="109"/>
      <c r="O120" s="109"/>
      <c r="P120" s="134"/>
      <c r="Q120" s="6">
        <f aca="true" t="shared" si="63" ref="Q120:Q132">SUM(E120:P120)</f>
        <v>3</v>
      </c>
      <c r="S120" s="17">
        <v>315</v>
      </c>
      <c r="T120" s="49">
        <f aca="true" t="shared" si="64" ref="T120:T132">+S120+(Z120+AA120+AB120)-(AM120+AN120+AO120)</f>
        <v>322</v>
      </c>
      <c r="U120" s="17"/>
      <c r="V120" s="61">
        <f t="shared" si="35"/>
        <v>0</v>
      </c>
      <c r="W120" s="61">
        <f aca="true" t="shared" si="65" ref="W120:W132">+U120+(AF120+AG120+AH120+AI120)-(AS120+AT120+AU120+AV120)</f>
        <v>0</v>
      </c>
      <c r="X120" s="7"/>
      <c r="Y120" s="5"/>
      <c r="Z120" s="101">
        <v>6</v>
      </c>
      <c r="AA120" s="101">
        <v>4</v>
      </c>
      <c r="AB120" s="101"/>
      <c r="AC120" s="101"/>
      <c r="AD120" s="101"/>
      <c r="AE120" s="101"/>
      <c r="AF120" s="101"/>
      <c r="AG120" s="101"/>
      <c r="AH120" s="101"/>
      <c r="AI120" s="101"/>
      <c r="AJ120" s="100"/>
      <c r="AK120" s="2"/>
      <c r="AL120" s="6">
        <f t="shared" si="36"/>
        <v>10</v>
      </c>
      <c r="AM120" s="101">
        <v>3</v>
      </c>
      <c r="AN120" s="101">
        <v>0</v>
      </c>
      <c r="AO120" s="101"/>
      <c r="AP120" s="101"/>
      <c r="AQ120" s="101"/>
      <c r="AR120" s="101"/>
      <c r="AS120" s="101"/>
      <c r="AT120" s="101"/>
      <c r="AU120" s="101"/>
      <c r="AV120" s="101"/>
      <c r="AW120" s="100"/>
      <c r="AX120" s="100"/>
      <c r="AY120" s="6">
        <f t="shared" si="37"/>
        <v>3</v>
      </c>
    </row>
    <row r="121" spans="1:51" ht="15" thickBot="1">
      <c r="A121" s="110" t="s">
        <v>186</v>
      </c>
      <c r="B121" s="103" t="s">
        <v>174</v>
      </c>
      <c r="C121" s="63"/>
      <c r="D121" s="63"/>
      <c r="E121" s="101">
        <v>5</v>
      </c>
      <c r="F121" s="101">
        <v>0</v>
      </c>
      <c r="G121" s="101"/>
      <c r="H121" s="101"/>
      <c r="I121" s="101"/>
      <c r="J121" s="101"/>
      <c r="K121" s="101"/>
      <c r="L121" s="109"/>
      <c r="M121" s="109"/>
      <c r="N121" s="109"/>
      <c r="O121" s="109"/>
      <c r="P121" s="134"/>
      <c r="Q121" s="6">
        <f t="shared" si="63"/>
        <v>5</v>
      </c>
      <c r="S121" s="17">
        <v>180</v>
      </c>
      <c r="T121" s="49">
        <f t="shared" si="64"/>
        <v>180</v>
      </c>
      <c r="U121" s="17"/>
      <c r="V121" s="61">
        <f t="shared" si="35"/>
        <v>0</v>
      </c>
      <c r="W121" s="61">
        <f t="shared" si="65"/>
        <v>0</v>
      </c>
      <c r="X121" s="7"/>
      <c r="Y121" s="5"/>
      <c r="Z121" s="101">
        <v>0</v>
      </c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0"/>
      <c r="AK121" s="2"/>
      <c r="AL121" s="6">
        <f t="shared" si="36"/>
        <v>0</v>
      </c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0"/>
      <c r="AX121" s="100"/>
      <c r="AY121" s="6">
        <f t="shared" si="37"/>
        <v>0</v>
      </c>
    </row>
    <row r="122" spans="1:51" ht="15" thickBot="1">
      <c r="A122" s="110" t="s">
        <v>186</v>
      </c>
      <c r="B122" s="103" t="s">
        <v>175</v>
      </c>
      <c r="C122" s="63"/>
      <c r="D122" s="63"/>
      <c r="E122" s="101">
        <v>0</v>
      </c>
      <c r="F122" s="101">
        <v>0</v>
      </c>
      <c r="G122" s="101"/>
      <c r="H122" s="101"/>
      <c r="I122" s="101"/>
      <c r="J122" s="101"/>
      <c r="K122" s="101"/>
      <c r="L122" s="109"/>
      <c r="M122" s="109"/>
      <c r="N122" s="109"/>
      <c r="O122" s="109"/>
      <c r="P122" s="134"/>
      <c r="Q122" s="6">
        <f t="shared" si="63"/>
        <v>0</v>
      </c>
      <c r="S122" s="17">
        <v>118</v>
      </c>
      <c r="T122" s="49">
        <f t="shared" si="64"/>
        <v>119</v>
      </c>
      <c r="U122" s="17"/>
      <c r="V122" s="61">
        <f t="shared" si="35"/>
        <v>0</v>
      </c>
      <c r="W122" s="61">
        <f t="shared" si="65"/>
        <v>0</v>
      </c>
      <c r="X122" s="7"/>
      <c r="Y122" s="5"/>
      <c r="Z122" s="101">
        <v>0</v>
      </c>
      <c r="AA122" s="101">
        <v>1</v>
      </c>
      <c r="AB122" s="101"/>
      <c r="AC122" s="101"/>
      <c r="AD122" s="101"/>
      <c r="AE122" s="101"/>
      <c r="AF122" s="101"/>
      <c r="AG122" s="101"/>
      <c r="AH122" s="101"/>
      <c r="AI122" s="101"/>
      <c r="AJ122" s="100"/>
      <c r="AK122" s="2"/>
      <c r="AL122" s="6">
        <f t="shared" si="36"/>
        <v>1</v>
      </c>
      <c r="AM122" s="101">
        <v>0</v>
      </c>
      <c r="AN122" s="101">
        <v>0</v>
      </c>
      <c r="AO122" s="101"/>
      <c r="AP122" s="101"/>
      <c r="AQ122" s="101"/>
      <c r="AR122" s="101"/>
      <c r="AS122" s="101"/>
      <c r="AT122" s="101"/>
      <c r="AU122" s="101"/>
      <c r="AV122" s="101"/>
      <c r="AW122" s="100"/>
      <c r="AX122" s="100"/>
      <c r="AY122" s="6">
        <f t="shared" si="37"/>
        <v>0</v>
      </c>
    </row>
    <row r="123" spans="1:51" ht="15" thickBot="1">
      <c r="A123" s="110" t="s">
        <v>186</v>
      </c>
      <c r="B123" s="103" t="s">
        <v>176</v>
      </c>
      <c r="C123" s="63"/>
      <c r="D123" s="63"/>
      <c r="E123" s="101">
        <v>7</v>
      </c>
      <c r="F123" s="101">
        <v>7</v>
      </c>
      <c r="G123" s="101"/>
      <c r="H123" s="101"/>
      <c r="I123" s="101"/>
      <c r="J123" s="101"/>
      <c r="K123" s="101"/>
      <c r="L123" s="109"/>
      <c r="M123" s="109"/>
      <c r="N123" s="109"/>
      <c r="O123" s="109"/>
      <c r="P123" s="134"/>
      <c r="Q123" s="6">
        <f t="shared" si="63"/>
        <v>14</v>
      </c>
      <c r="S123" s="17">
        <v>322</v>
      </c>
      <c r="T123" s="49">
        <f t="shared" si="64"/>
        <v>323</v>
      </c>
      <c r="U123" s="17"/>
      <c r="V123" s="61">
        <f t="shared" si="35"/>
        <v>0</v>
      </c>
      <c r="W123" s="61">
        <f t="shared" si="65"/>
        <v>0</v>
      </c>
      <c r="X123" s="7"/>
      <c r="Y123" s="5"/>
      <c r="Z123" s="101">
        <v>0</v>
      </c>
      <c r="AA123" s="101">
        <v>2</v>
      </c>
      <c r="AB123" s="101"/>
      <c r="AC123" s="101"/>
      <c r="AD123" s="101"/>
      <c r="AE123" s="101"/>
      <c r="AF123" s="101"/>
      <c r="AG123" s="101"/>
      <c r="AH123" s="101"/>
      <c r="AI123" s="101"/>
      <c r="AJ123" s="100"/>
      <c r="AK123" s="2"/>
      <c r="AL123" s="6">
        <f t="shared" si="36"/>
        <v>2</v>
      </c>
      <c r="AM123" s="101">
        <v>1</v>
      </c>
      <c r="AN123" s="101">
        <v>0</v>
      </c>
      <c r="AO123" s="101"/>
      <c r="AP123" s="101"/>
      <c r="AQ123" s="101"/>
      <c r="AR123" s="101"/>
      <c r="AS123" s="101"/>
      <c r="AT123" s="101"/>
      <c r="AU123" s="101"/>
      <c r="AV123" s="101"/>
      <c r="AW123" s="100"/>
      <c r="AX123" s="100"/>
      <c r="AY123" s="6">
        <f t="shared" si="37"/>
        <v>1</v>
      </c>
    </row>
    <row r="124" spans="1:51" ht="15" thickBot="1">
      <c r="A124" s="110" t="s">
        <v>186</v>
      </c>
      <c r="B124" s="103" t="s">
        <v>177</v>
      </c>
      <c r="C124" s="63"/>
      <c r="D124" s="63"/>
      <c r="E124" s="101">
        <v>3</v>
      </c>
      <c r="F124" s="101">
        <v>0</v>
      </c>
      <c r="G124" s="101"/>
      <c r="H124" s="101"/>
      <c r="I124" s="101"/>
      <c r="J124" s="101"/>
      <c r="K124" s="101"/>
      <c r="L124" s="109"/>
      <c r="M124" s="109"/>
      <c r="N124" s="109"/>
      <c r="O124" s="109"/>
      <c r="P124" s="134"/>
      <c r="Q124" s="6">
        <f t="shared" si="63"/>
        <v>3</v>
      </c>
      <c r="S124" s="17">
        <v>22</v>
      </c>
      <c r="T124" s="49">
        <f t="shared" si="64"/>
        <v>22</v>
      </c>
      <c r="U124" s="17"/>
      <c r="V124" s="61">
        <f t="shared" si="35"/>
        <v>0</v>
      </c>
      <c r="W124" s="61">
        <f t="shared" si="65"/>
        <v>0</v>
      </c>
      <c r="X124" s="7"/>
      <c r="Y124" s="5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0"/>
      <c r="AK124" s="2"/>
      <c r="AL124" s="6">
        <f t="shared" si="36"/>
        <v>0</v>
      </c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0"/>
      <c r="AX124" s="100"/>
      <c r="AY124" s="6">
        <f t="shared" si="37"/>
        <v>0</v>
      </c>
    </row>
    <row r="125" spans="1:51" ht="15" thickBot="1">
      <c r="A125" s="110" t="s">
        <v>186</v>
      </c>
      <c r="B125" s="103" t="s">
        <v>178</v>
      </c>
      <c r="C125" s="63"/>
      <c r="D125" s="63"/>
      <c r="E125" s="101">
        <v>1</v>
      </c>
      <c r="F125" s="101">
        <v>1</v>
      </c>
      <c r="G125" s="101"/>
      <c r="H125" s="101"/>
      <c r="I125" s="101"/>
      <c r="J125" s="101"/>
      <c r="K125" s="101"/>
      <c r="L125" s="109"/>
      <c r="M125" s="109"/>
      <c r="N125" s="109"/>
      <c r="O125" s="109"/>
      <c r="P125" s="134"/>
      <c r="Q125" s="6">
        <f t="shared" si="63"/>
        <v>2</v>
      </c>
      <c r="S125" s="17">
        <v>43</v>
      </c>
      <c r="T125" s="49">
        <f t="shared" si="64"/>
        <v>43</v>
      </c>
      <c r="U125" s="17"/>
      <c r="V125" s="61">
        <f t="shared" si="35"/>
        <v>0</v>
      </c>
      <c r="W125" s="61">
        <f t="shared" si="65"/>
        <v>0</v>
      </c>
      <c r="X125" s="7"/>
      <c r="Y125" s="5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0"/>
      <c r="AK125" s="2"/>
      <c r="AL125" s="6">
        <f t="shared" si="36"/>
        <v>0</v>
      </c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0"/>
      <c r="AX125" s="100"/>
      <c r="AY125" s="6">
        <f t="shared" si="37"/>
        <v>0</v>
      </c>
    </row>
    <row r="126" spans="1:51" ht="15" thickBot="1">
      <c r="A126" s="110" t="s">
        <v>186</v>
      </c>
      <c r="B126" s="103" t="s">
        <v>179</v>
      </c>
      <c r="C126" s="63"/>
      <c r="D126" s="63"/>
      <c r="E126" s="101"/>
      <c r="F126" s="101">
        <v>0</v>
      </c>
      <c r="G126" s="101"/>
      <c r="H126" s="101"/>
      <c r="I126" s="101"/>
      <c r="J126" s="101"/>
      <c r="K126" s="101"/>
      <c r="L126" s="109"/>
      <c r="M126" s="109"/>
      <c r="N126" s="109"/>
      <c r="O126" s="109"/>
      <c r="P126" s="134"/>
      <c r="Q126" s="6">
        <f t="shared" si="63"/>
        <v>0</v>
      </c>
      <c r="S126" s="17">
        <v>31</v>
      </c>
      <c r="T126" s="49">
        <f t="shared" si="64"/>
        <v>31</v>
      </c>
      <c r="U126" s="17"/>
      <c r="V126" s="61">
        <f t="shared" si="35"/>
        <v>0</v>
      </c>
      <c r="W126" s="61">
        <f t="shared" si="65"/>
        <v>0</v>
      </c>
      <c r="X126" s="7"/>
      <c r="Y126" s="5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2"/>
      <c r="AK126" s="2"/>
      <c r="AL126" s="6">
        <f t="shared" si="36"/>
        <v>0</v>
      </c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0"/>
      <c r="AX126" s="100"/>
      <c r="AY126" s="6">
        <f t="shared" si="37"/>
        <v>0</v>
      </c>
    </row>
    <row r="127" spans="1:51" ht="15" thickBot="1">
      <c r="A127" s="110" t="s">
        <v>186</v>
      </c>
      <c r="B127" s="103" t="s">
        <v>180</v>
      </c>
      <c r="C127" s="63"/>
      <c r="D127" s="63"/>
      <c r="E127" s="101">
        <v>0</v>
      </c>
      <c r="F127" s="101">
        <v>3</v>
      </c>
      <c r="G127" s="101"/>
      <c r="H127" s="101"/>
      <c r="I127" s="101"/>
      <c r="J127" s="101"/>
      <c r="K127" s="101"/>
      <c r="L127" s="109"/>
      <c r="M127" s="109"/>
      <c r="N127" s="109"/>
      <c r="O127" s="109"/>
      <c r="P127" s="134"/>
      <c r="Q127" s="6">
        <f t="shared" si="63"/>
        <v>3</v>
      </c>
      <c r="S127" s="17">
        <v>14</v>
      </c>
      <c r="T127" s="49">
        <f t="shared" si="64"/>
        <v>13</v>
      </c>
      <c r="U127" s="17"/>
      <c r="V127" s="61">
        <f t="shared" si="35"/>
        <v>0</v>
      </c>
      <c r="W127" s="61">
        <f t="shared" si="65"/>
        <v>0</v>
      </c>
      <c r="X127" s="7"/>
      <c r="Y127" s="5"/>
      <c r="Z127" s="101"/>
      <c r="AA127" s="101">
        <v>0</v>
      </c>
      <c r="AB127" s="101"/>
      <c r="AC127" s="101"/>
      <c r="AD127" s="101"/>
      <c r="AE127" s="101"/>
      <c r="AF127" s="101"/>
      <c r="AG127" s="101"/>
      <c r="AH127" s="101"/>
      <c r="AI127" s="101"/>
      <c r="AJ127" s="100"/>
      <c r="AK127" s="2"/>
      <c r="AL127" s="6">
        <f t="shared" si="36"/>
        <v>0</v>
      </c>
      <c r="AM127" s="101">
        <v>1</v>
      </c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0"/>
      <c r="AX127" s="100"/>
      <c r="AY127" s="6">
        <f t="shared" si="37"/>
        <v>1</v>
      </c>
    </row>
    <row r="128" spans="1:51" ht="15" thickBot="1">
      <c r="A128" s="110" t="s">
        <v>186</v>
      </c>
      <c r="B128" s="103" t="s">
        <v>181</v>
      </c>
      <c r="C128" s="63"/>
      <c r="D128" s="63"/>
      <c r="E128" s="101">
        <v>1</v>
      </c>
      <c r="F128" s="101">
        <v>1</v>
      </c>
      <c r="G128" s="101"/>
      <c r="H128" s="101"/>
      <c r="I128" s="101"/>
      <c r="J128" s="101"/>
      <c r="K128" s="101"/>
      <c r="L128" s="109"/>
      <c r="M128" s="109"/>
      <c r="N128" s="109"/>
      <c r="O128" s="109"/>
      <c r="P128" s="134"/>
      <c r="Q128" s="6">
        <f t="shared" si="63"/>
        <v>2</v>
      </c>
      <c r="S128" s="17">
        <v>26</v>
      </c>
      <c r="T128" s="49">
        <f t="shared" si="64"/>
        <v>25</v>
      </c>
      <c r="U128" s="17"/>
      <c r="V128" s="61">
        <f t="shared" si="35"/>
        <v>0</v>
      </c>
      <c r="W128" s="61">
        <f t="shared" si="65"/>
        <v>0</v>
      </c>
      <c r="X128" s="7"/>
      <c r="Y128" s="5"/>
      <c r="Z128" s="101">
        <v>0</v>
      </c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0"/>
      <c r="AK128" s="2"/>
      <c r="AL128" s="6">
        <f t="shared" si="36"/>
        <v>0</v>
      </c>
      <c r="AM128" s="101">
        <v>1</v>
      </c>
      <c r="AN128" s="101">
        <v>0</v>
      </c>
      <c r="AO128" s="101"/>
      <c r="AP128" s="101"/>
      <c r="AQ128" s="101"/>
      <c r="AR128" s="101"/>
      <c r="AS128" s="101"/>
      <c r="AT128" s="101"/>
      <c r="AU128" s="101"/>
      <c r="AV128" s="101"/>
      <c r="AW128" s="100"/>
      <c r="AX128" s="100"/>
      <c r="AY128" s="6">
        <f t="shared" si="37"/>
        <v>1</v>
      </c>
    </row>
    <row r="129" spans="1:51" ht="15" thickBot="1">
      <c r="A129" s="110" t="s">
        <v>186</v>
      </c>
      <c r="B129" s="103" t="s">
        <v>182</v>
      </c>
      <c r="C129" s="63"/>
      <c r="D129" s="63"/>
      <c r="E129" s="101">
        <v>0</v>
      </c>
      <c r="F129" s="101">
        <v>1</v>
      </c>
      <c r="G129" s="101"/>
      <c r="H129" s="101"/>
      <c r="I129" s="101"/>
      <c r="J129" s="101"/>
      <c r="K129" s="101"/>
      <c r="L129" s="109"/>
      <c r="M129" s="109"/>
      <c r="N129" s="109"/>
      <c r="O129" s="109"/>
      <c r="P129" s="134"/>
      <c r="Q129" s="6">
        <f t="shared" si="63"/>
        <v>1</v>
      </c>
      <c r="S129" s="17">
        <v>35</v>
      </c>
      <c r="T129" s="49">
        <f t="shared" si="64"/>
        <v>35</v>
      </c>
      <c r="U129" s="17"/>
      <c r="V129" s="61">
        <f t="shared" si="35"/>
        <v>0</v>
      </c>
      <c r="W129" s="61">
        <f t="shared" si="65"/>
        <v>0</v>
      </c>
      <c r="X129" s="7"/>
      <c r="Y129" s="5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0"/>
      <c r="AK129" s="2"/>
      <c r="AL129" s="6">
        <f t="shared" si="36"/>
        <v>0</v>
      </c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0"/>
      <c r="AX129" s="100"/>
      <c r="AY129" s="6">
        <f t="shared" si="37"/>
        <v>0</v>
      </c>
    </row>
    <row r="130" spans="1:51" ht="15" thickBot="1">
      <c r="A130" s="110" t="s">
        <v>186</v>
      </c>
      <c r="B130" s="103" t="s">
        <v>183</v>
      </c>
      <c r="C130" s="63"/>
      <c r="D130" s="63"/>
      <c r="E130" s="101"/>
      <c r="F130" s="101">
        <v>0</v>
      </c>
      <c r="G130" s="101"/>
      <c r="H130" s="101"/>
      <c r="I130" s="101"/>
      <c r="J130" s="101"/>
      <c r="K130" s="101"/>
      <c r="L130" s="109"/>
      <c r="M130" s="109"/>
      <c r="N130" s="109"/>
      <c r="O130" s="109"/>
      <c r="P130" s="134"/>
      <c r="Q130" s="6">
        <f t="shared" si="63"/>
        <v>0</v>
      </c>
      <c r="S130" s="17">
        <v>46</v>
      </c>
      <c r="T130" s="49">
        <f t="shared" si="64"/>
        <v>49</v>
      </c>
      <c r="U130" s="17"/>
      <c r="V130" s="61">
        <f t="shared" si="35"/>
        <v>0</v>
      </c>
      <c r="W130" s="61">
        <f t="shared" si="65"/>
        <v>0</v>
      </c>
      <c r="X130" s="7"/>
      <c r="Y130" s="5"/>
      <c r="Z130" s="101">
        <v>2</v>
      </c>
      <c r="AA130" s="101">
        <v>1</v>
      </c>
      <c r="AB130" s="101"/>
      <c r="AC130" s="101"/>
      <c r="AD130" s="101"/>
      <c r="AE130" s="101"/>
      <c r="AF130" s="101"/>
      <c r="AG130" s="101"/>
      <c r="AH130" s="101"/>
      <c r="AI130" s="101"/>
      <c r="AJ130" s="106"/>
      <c r="AK130" s="65"/>
      <c r="AL130" s="6">
        <f t="shared" si="36"/>
        <v>3</v>
      </c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6"/>
      <c r="AX130" s="106"/>
      <c r="AY130" s="6">
        <f t="shared" si="37"/>
        <v>0</v>
      </c>
    </row>
    <row r="131" spans="1:51" ht="15" thickBot="1">
      <c r="A131" s="110" t="s">
        <v>186</v>
      </c>
      <c r="B131" s="103" t="s">
        <v>184</v>
      </c>
      <c r="C131" s="63"/>
      <c r="D131" s="63"/>
      <c r="E131" s="101">
        <v>1</v>
      </c>
      <c r="F131" s="101">
        <v>0</v>
      </c>
      <c r="G131" s="101"/>
      <c r="H131" s="101"/>
      <c r="I131" s="101"/>
      <c r="J131" s="101"/>
      <c r="K131" s="101"/>
      <c r="L131" s="109"/>
      <c r="M131" s="109"/>
      <c r="N131" s="109"/>
      <c r="O131" s="109"/>
      <c r="P131" s="134"/>
      <c r="Q131" s="6">
        <f t="shared" si="63"/>
        <v>1</v>
      </c>
      <c r="S131" s="17">
        <v>18</v>
      </c>
      <c r="T131" s="49">
        <f t="shared" si="64"/>
        <v>18</v>
      </c>
      <c r="U131" s="17"/>
      <c r="V131" s="61">
        <f t="shared" si="35"/>
        <v>0</v>
      </c>
      <c r="W131" s="61">
        <f t="shared" si="65"/>
        <v>0</v>
      </c>
      <c r="X131" s="7"/>
      <c r="Y131" s="5"/>
      <c r="Z131" s="101"/>
      <c r="AA131" s="101">
        <v>0</v>
      </c>
      <c r="AB131" s="101"/>
      <c r="AC131" s="101"/>
      <c r="AD131" s="101"/>
      <c r="AE131" s="101"/>
      <c r="AF131" s="101"/>
      <c r="AG131" s="101"/>
      <c r="AH131" s="101"/>
      <c r="AI131" s="101"/>
      <c r="AJ131" s="106"/>
      <c r="AK131" s="65"/>
      <c r="AL131" s="6">
        <f t="shared" si="36"/>
        <v>0</v>
      </c>
      <c r="AM131" s="101"/>
      <c r="AN131" s="101">
        <v>0</v>
      </c>
      <c r="AO131" s="101"/>
      <c r="AP131" s="101"/>
      <c r="AQ131" s="101"/>
      <c r="AR131" s="101"/>
      <c r="AS131" s="101"/>
      <c r="AT131" s="101"/>
      <c r="AU131" s="101"/>
      <c r="AV131" s="101"/>
      <c r="AW131" s="106"/>
      <c r="AX131" s="106"/>
      <c r="AY131" s="6">
        <f t="shared" si="37"/>
        <v>0</v>
      </c>
    </row>
    <row r="132" spans="1:51" ht="15" thickBot="1">
      <c r="A132" s="110" t="s">
        <v>186</v>
      </c>
      <c r="B132" s="103" t="s">
        <v>185</v>
      </c>
      <c r="C132" s="63"/>
      <c r="D132" s="63"/>
      <c r="E132" s="101"/>
      <c r="F132" s="101"/>
      <c r="G132" s="101"/>
      <c r="H132" s="101"/>
      <c r="I132" s="101"/>
      <c r="J132" s="101"/>
      <c r="K132" s="101"/>
      <c r="L132" s="109"/>
      <c r="M132" s="109"/>
      <c r="N132" s="109"/>
      <c r="O132" s="109"/>
      <c r="P132" s="134"/>
      <c r="Q132" s="6">
        <f t="shared" si="63"/>
        <v>0</v>
      </c>
      <c r="S132" s="17">
        <v>21</v>
      </c>
      <c r="T132" s="49">
        <f t="shared" si="64"/>
        <v>21</v>
      </c>
      <c r="U132" s="17"/>
      <c r="V132" s="61">
        <f t="shared" si="35"/>
        <v>0</v>
      </c>
      <c r="W132" s="61">
        <f t="shared" si="65"/>
        <v>0</v>
      </c>
      <c r="X132" s="7"/>
      <c r="Y132" s="5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6"/>
      <c r="AK132" s="65"/>
      <c r="AL132" s="6">
        <f t="shared" si="36"/>
        <v>0</v>
      </c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6"/>
      <c r="AX132" s="106"/>
      <c r="AY132" s="6">
        <f t="shared" si="37"/>
        <v>0</v>
      </c>
    </row>
    <row r="133" spans="1:51" s="65" customFormat="1" ht="15" thickBot="1">
      <c r="A133" s="196" t="s">
        <v>208</v>
      </c>
      <c r="B133" s="197"/>
      <c r="C133" s="45">
        <f>+D133/Metas!H32</f>
        <v>0.6009615384615384</v>
      </c>
      <c r="D133" s="19">
        <f>+Q133/R133</f>
        <v>0.015625</v>
      </c>
      <c r="E133" s="14">
        <f aca="true" t="shared" si="66" ref="E133:P133">SUM(E120:E132)</f>
        <v>19</v>
      </c>
      <c r="F133" s="14">
        <f t="shared" si="66"/>
        <v>15</v>
      </c>
      <c r="G133" s="14">
        <f t="shared" si="66"/>
        <v>0</v>
      </c>
      <c r="H133" s="14">
        <f t="shared" si="66"/>
        <v>0</v>
      </c>
      <c r="I133" s="14">
        <f t="shared" si="66"/>
        <v>0</v>
      </c>
      <c r="J133" s="14">
        <f t="shared" si="66"/>
        <v>0</v>
      </c>
      <c r="K133" s="14">
        <f t="shared" si="66"/>
        <v>0</v>
      </c>
      <c r="L133" s="14">
        <f t="shared" si="66"/>
        <v>0</v>
      </c>
      <c r="M133" s="14">
        <f t="shared" si="66"/>
        <v>0</v>
      </c>
      <c r="N133" s="14">
        <f t="shared" si="66"/>
        <v>0</v>
      </c>
      <c r="O133" s="14">
        <f t="shared" si="66"/>
        <v>0</v>
      </c>
      <c r="P133" s="14">
        <f t="shared" si="66"/>
        <v>0</v>
      </c>
      <c r="Q133" s="14">
        <f>SUM(Q120:Q132)</f>
        <v>34</v>
      </c>
      <c r="R133" s="15">
        <f>+Y133-T133</f>
        <v>2176</v>
      </c>
      <c r="S133" s="14">
        <f aca="true" t="shared" si="67" ref="S133:X133">SUM(S120:S132)</f>
        <v>1191</v>
      </c>
      <c r="T133" s="14">
        <f t="shared" si="67"/>
        <v>1201</v>
      </c>
      <c r="U133" s="14">
        <f t="shared" si="67"/>
        <v>0</v>
      </c>
      <c r="V133" s="13">
        <f t="shared" si="67"/>
        <v>0</v>
      </c>
      <c r="W133" s="46">
        <f t="shared" si="67"/>
        <v>0</v>
      </c>
      <c r="X133" s="46">
        <f t="shared" si="67"/>
        <v>0</v>
      </c>
      <c r="Y133" s="16">
        <v>3377</v>
      </c>
      <c r="Z133" s="13">
        <f>SUM(Z120:Z132)</f>
        <v>8</v>
      </c>
      <c r="AA133" s="13">
        <f aca="true" t="shared" si="68" ref="AA133:AK133">SUM(AA120:AA132)</f>
        <v>8</v>
      </c>
      <c r="AB133" s="13">
        <f t="shared" si="68"/>
        <v>0</v>
      </c>
      <c r="AC133" s="13">
        <f t="shared" si="68"/>
        <v>0</v>
      </c>
      <c r="AD133" s="13">
        <f t="shared" si="68"/>
        <v>0</v>
      </c>
      <c r="AE133" s="13">
        <f t="shared" si="68"/>
        <v>0</v>
      </c>
      <c r="AF133" s="13">
        <f t="shared" si="68"/>
        <v>0</v>
      </c>
      <c r="AG133" s="13">
        <f t="shared" si="68"/>
        <v>0</v>
      </c>
      <c r="AH133" s="13">
        <f t="shared" si="68"/>
        <v>0</v>
      </c>
      <c r="AI133" s="13">
        <f t="shared" si="68"/>
        <v>0</v>
      </c>
      <c r="AJ133" s="13">
        <f t="shared" si="68"/>
        <v>0</v>
      </c>
      <c r="AK133" s="13">
        <f t="shared" si="68"/>
        <v>0</v>
      </c>
      <c r="AL133" s="13">
        <f t="shared" si="36"/>
        <v>16</v>
      </c>
      <c r="AM133" s="13">
        <f aca="true" t="shared" si="69" ref="AM133:AX133">SUM(AM120:AM132)</f>
        <v>6</v>
      </c>
      <c r="AN133" s="13">
        <f t="shared" si="69"/>
        <v>0</v>
      </c>
      <c r="AO133" s="13">
        <f t="shared" si="69"/>
        <v>0</v>
      </c>
      <c r="AP133" s="13">
        <f t="shared" si="69"/>
        <v>0</v>
      </c>
      <c r="AQ133" s="13">
        <f t="shared" si="69"/>
        <v>0</v>
      </c>
      <c r="AR133" s="13">
        <f t="shared" si="69"/>
        <v>0</v>
      </c>
      <c r="AS133" s="13">
        <f t="shared" si="69"/>
        <v>0</v>
      </c>
      <c r="AT133" s="13">
        <f t="shared" si="69"/>
        <v>0</v>
      </c>
      <c r="AU133" s="13">
        <f t="shared" si="69"/>
        <v>0</v>
      </c>
      <c r="AV133" s="13">
        <f t="shared" si="69"/>
        <v>0</v>
      </c>
      <c r="AW133" s="13">
        <f t="shared" si="69"/>
        <v>0</v>
      </c>
      <c r="AX133" s="13">
        <f t="shared" si="69"/>
        <v>0</v>
      </c>
      <c r="AY133" s="13">
        <f t="shared" si="37"/>
        <v>6</v>
      </c>
    </row>
    <row r="134" spans="1:51" ht="15" thickBot="1">
      <c r="A134" s="110" t="s">
        <v>191</v>
      </c>
      <c r="B134" s="103" t="s">
        <v>187</v>
      </c>
      <c r="C134" s="63"/>
      <c r="D134" s="63"/>
      <c r="E134" s="101">
        <v>0</v>
      </c>
      <c r="F134" s="101">
        <v>0</v>
      </c>
      <c r="G134" s="101"/>
      <c r="H134" s="101"/>
      <c r="I134" s="101"/>
      <c r="J134" s="101"/>
      <c r="K134" s="101"/>
      <c r="L134" s="109"/>
      <c r="M134" s="109"/>
      <c r="N134" s="109"/>
      <c r="O134" s="109"/>
      <c r="P134" s="134"/>
      <c r="Q134" s="6">
        <f aca="true" t="shared" si="70" ref="Q134:Q145">SUM(E134:P134)</f>
        <v>0</v>
      </c>
      <c r="S134" s="17">
        <v>548</v>
      </c>
      <c r="T134" s="49">
        <f>+S134+(Z134+AA134+AB134)-(AM134+AN134+AO134)</f>
        <v>558</v>
      </c>
      <c r="U134" s="17"/>
      <c r="V134" s="61">
        <f t="shared" si="35"/>
        <v>0</v>
      </c>
      <c r="W134" s="61">
        <f>+U134+(AF134+AG134+AH134+AI134)-(AS134+AT134+AU134+AV134)</f>
        <v>0</v>
      </c>
      <c r="X134" s="7"/>
      <c r="Y134" s="5"/>
      <c r="Z134" s="101">
        <v>7</v>
      </c>
      <c r="AA134" s="101">
        <v>3</v>
      </c>
      <c r="AB134" s="101"/>
      <c r="AC134" s="101"/>
      <c r="AD134" s="101"/>
      <c r="AE134" s="101"/>
      <c r="AF134" s="101"/>
      <c r="AG134" s="113"/>
      <c r="AH134" s="113"/>
      <c r="AI134" s="113"/>
      <c r="AJ134" s="113"/>
      <c r="AK134" s="70"/>
      <c r="AL134" s="6">
        <f t="shared" si="36"/>
        <v>10</v>
      </c>
      <c r="AM134" s="101"/>
      <c r="AN134" s="101">
        <v>0</v>
      </c>
      <c r="AO134" s="101"/>
      <c r="AP134" s="101"/>
      <c r="AQ134" s="101"/>
      <c r="AR134" s="101"/>
      <c r="AS134" s="101"/>
      <c r="AT134" s="113"/>
      <c r="AU134" s="113"/>
      <c r="AV134" s="114"/>
      <c r="AW134" s="114"/>
      <c r="AX134" s="114"/>
      <c r="AY134" s="6">
        <f t="shared" si="37"/>
        <v>0</v>
      </c>
    </row>
    <row r="135" spans="1:51" ht="15" thickBot="1">
      <c r="A135" s="110" t="s">
        <v>191</v>
      </c>
      <c r="B135" s="103" t="s">
        <v>188</v>
      </c>
      <c r="C135" s="63"/>
      <c r="D135" s="63"/>
      <c r="E135" s="101">
        <v>0</v>
      </c>
      <c r="F135" s="101">
        <v>0</v>
      </c>
      <c r="G135" s="101"/>
      <c r="H135" s="101"/>
      <c r="I135" s="101"/>
      <c r="J135" s="101"/>
      <c r="K135" s="101"/>
      <c r="L135" s="109"/>
      <c r="M135" s="109"/>
      <c r="N135" s="109"/>
      <c r="O135" s="109"/>
      <c r="P135" s="134"/>
      <c r="Q135" s="6">
        <f t="shared" si="70"/>
        <v>0</v>
      </c>
      <c r="S135" s="51">
        <v>98</v>
      </c>
      <c r="T135" s="49">
        <f>+S135+(Z135+AA135+AB135)-(AM135+AN135+AO135)</f>
        <v>101</v>
      </c>
      <c r="U135" s="17"/>
      <c r="V135" s="61">
        <f t="shared" si="35"/>
        <v>0</v>
      </c>
      <c r="W135" s="61">
        <f>+U135+(AF135+AG135+AH135+AI135)-(AS135+AT135+AU135+AV135)</f>
        <v>0</v>
      </c>
      <c r="X135" s="7"/>
      <c r="Y135" s="5"/>
      <c r="Z135" s="101"/>
      <c r="AA135" s="101">
        <v>3</v>
      </c>
      <c r="AB135" s="101"/>
      <c r="AC135" s="101"/>
      <c r="AD135" s="101"/>
      <c r="AE135" s="101"/>
      <c r="AF135" s="101"/>
      <c r="AG135" s="109"/>
      <c r="AH135" s="109"/>
      <c r="AI135" s="109"/>
      <c r="AJ135" s="109"/>
      <c r="AL135" s="6">
        <f t="shared" si="36"/>
        <v>3</v>
      </c>
      <c r="AM135" s="101"/>
      <c r="AN135" s="101">
        <v>0</v>
      </c>
      <c r="AO135" s="101"/>
      <c r="AP135" s="101"/>
      <c r="AQ135" s="101"/>
      <c r="AR135" s="101"/>
      <c r="AS135" s="101"/>
      <c r="AT135" s="109"/>
      <c r="AU135" s="109"/>
      <c r="AV135" s="109"/>
      <c r="AW135" s="109"/>
      <c r="AX135" s="109"/>
      <c r="AY135" s="6">
        <f t="shared" si="37"/>
        <v>0</v>
      </c>
    </row>
    <row r="136" spans="1:51" ht="15" thickBot="1">
      <c r="A136" s="110" t="s">
        <v>191</v>
      </c>
      <c r="B136" s="103" t="s">
        <v>189</v>
      </c>
      <c r="C136" s="63"/>
      <c r="D136" s="63"/>
      <c r="E136" s="101"/>
      <c r="F136" s="101"/>
      <c r="G136" s="101"/>
      <c r="H136" s="101"/>
      <c r="I136" s="101"/>
      <c r="J136" s="101"/>
      <c r="K136" s="101"/>
      <c r="L136" s="109"/>
      <c r="M136" s="109"/>
      <c r="N136" s="109"/>
      <c r="O136" s="109"/>
      <c r="P136" s="134"/>
      <c r="Q136" s="6">
        <f t="shared" si="70"/>
        <v>0</v>
      </c>
      <c r="S136" s="51">
        <v>12</v>
      </c>
      <c r="T136" s="49">
        <f>+S136+(Z136+AA136+AB136)-(AM136+AN136+AO136)</f>
        <v>12</v>
      </c>
      <c r="U136" s="17"/>
      <c r="V136" s="61">
        <f t="shared" si="35"/>
        <v>0</v>
      </c>
      <c r="W136" s="61">
        <f>+U136+(AF136+AG136+AH136+AI136)-(AS136+AT136+AU136+AV136)</f>
        <v>0</v>
      </c>
      <c r="X136" s="7"/>
      <c r="Y136" s="5"/>
      <c r="Z136" s="101"/>
      <c r="AA136" s="101"/>
      <c r="AB136" s="101"/>
      <c r="AC136" s="101"/>
      <c r="AD136" s="101"/>
      <c r="AE136" s="101"/>
      <c r="AF136" s="101"/>
      <c r="AG136" s="109"/>
      <c r="AH136" s="109"/>
      <c r="AI136" s="109"/>
      <c r="AJ136" s="109"/>
      <c r="AL136" s="6">
        <f t="shared" si="36"/>
        <v>0</v>
      </c>
      <c r="AM136" s="101"/>
      <c r="AN136" s="101"/>
      <c r="AO136" s="101"/>
      <c r="AP136" s="101"/>
      <c r="AQ136" s="101"/>
      <c r="AR136" s="101"/>
      <c r="AS136" s="101"/>
      <c r="AT136" s="109"/>
      <c r="AU136" s="109"/>
      <c r="AV136" s="109"/>
      <c r="AW136" s="109"/>
      <c r="AX136" s="109"/>
      <c r="AY136" s="6">
        <f t="shared" si="37"/>
        <v>0</v>
      </c>
    </row>
    <row r="137" spans="1:51" ht="15" thickBot="1">
      <c r="A137" s="110" t="s">
        <v>191</v>
      </c>
      <c r="B137" s="103" t="s">
        <v>190</v>
      </c>
      <c r="C137" s="63"/>
      <c r="D137" s="63"/>
      <c r="E137" s="101"/>
      <c r="F137" s="101">
        <v>0</v>
      </c>
      <c r="G137" s="101"/>
      <c r="H137" s="101"/>
      <c r="I137" s="101"/>
      <c r="J137" s="101"/>
      <c r="K137" s="101"/>
      <c r="L137" s="109"/>
      <c r="M137" s="109"/>
      <c r="N137" s="109"/>
      <c r="O137" s="109"/>
      <c r="P137" s="134"/>
      <c r="Q137" s="6">
        <f t="shared" si="70"/>
        <v>0</v>
      </c>
      <c r="S137" s="51">
        <v>11</v>
      </c>
      <c r="T137" s="49">
        <f>+S137+(Z137+AA137+AB137)-(AM137+AN137+AO137)</f>
        <v>11</v>
      </c>
      <c r="U137" s="17"/>
      <c r="V137" s="61">
        <f t="shared" si="35"/>
        <v>0</v>
      </c>
      <c r="W137" s="61">
        <f>+U137+(AF137+AG137+AH137+AI137)-(AS137+AT137+AU137+AV137)</f>
        <v>0</v>
      </c>
      <c r="X137" s="7"/>
      <c r="Y137" s="5"/>
      <c r="Z137" s="101"/>
      <c r="AA137" s="101"/>
      <c r="AB137" s="101"/>
      <c r="AC137" s="101"/>
      <c r="AD137" s="101"/>
      <c r="AE137" s="101"/>
      <c r="AF137" s="101"/>
      <c r="AG137" s="109"/>
      <c r="AH137" s="109"/>
      <c r="AI137" s="109"/>
      <c r="AJ137" s="109"/>
      <c r="AL137" s="6">
        <f t="shared" si="36"/>
        <v>0</v>
      </c>
      <c r="AM137" s="101"/>
      <c r="AN137" s="101"/>
      <c r="AO137" s="101"/>
      <c r="AP137" s="101"/>
      <c r="AQ137" s="101"/>
      <c r="AR137" s="101"/>
      <c r="AS137" s="101"/>
      <c r="AT137" s="109"/>
      <c r="AU137" s="109"/>
      <c r="AV137" s="109"/>
      <c r="AW137" s="109"/>
      <c r="AX137" s="109"/>
      <c r="AY137" s="6">
        <f t="shared" si="37"/>
        <v>0</v>
      </c>
    </row>
    <row r="138" spans="1:51" s="65" customFormat="1" ht="15" thickBot="1">
      <c r="A138" s="196" t="s">
        <v>209</v>
      </c>
      <c r="B138" s="197"/>
      <c r="C138" s="45">
        <f>+D138/Metas!H34</f>
        <v>0</v>
      </c>
      <c r="D138" s="19">
        <f>+Q138/R138</f>
        <v>0</v>
      </c>
      <c r="E138" s="14">
        <f aca="true" t="shared" si="71" ref="E138:P138">SUM(E134:E137)</f>
        <v>0</v>
      </c>
      <c r="F138" s="14">
        <f t="shared" si="71"/>
        <v>0</v>
      </c>
      <c r="G138" s="14">
        <f t="shared" si="71"/>
        <v>0</v>
      </c>
      <c r="H138" s="14">
        <f t="shared" si="71"/>
        <v>0</v>
      </c>
      <c r="I138" s="14">
        <f t="shared" si="71"/>
        <v>0</v>
      </c>
      <c r="J138" s="14">
        <f t="shared" si="71"/>
        <v>0</v>
      </c>
      <c r="K138" s="14">
        <f t="shared" si="71"/>
        <v>0</v>
      </c>
      <c r="L138" s="14">
        <f t="shared" si="71"/>
        <v>0</v>
      </c>
      <c r="M138" s="14">
        <f t="shared" si="71"/>
        <v>0</v>
      </c>
      <c r="N138" s="14">
        <f t="shared" si="71"/>
        <v>0</v>
      </c>
      <c r="O138" s="14">
        <f t="shared" si="71"/>
        <v>0</v>
      </c>
      <c r="P138" s="14">
        <f t="shared" si="71"/>
        <v>0</v>
      </c>
      <c r="Q138" s="14">
        <f>SUM(Q134:Q137)</f>
        <v>0</v>
      </c>
      <c r="R138" s="15">
        <f>+Y138-T138</f>
        <v>505</v>
      </c>
      <c r="S138" s="14">
        <f aca="true" t="shared" si="72" ref="S138:X138">SUM(S134:S137)</f>
        <v>669</v>
      </c>
      <c r="T138" s="14">
        <f t="shared" si="72"/>
        <v>682</v>
      </c>
      <c r="U138" s="14">
        <f t="shared" si="72"/>
        <v>0</v>
      </c>
      <c r="V138" s="13">
        <f t="shared" si="72"/>
        <v>0</v>
      </c>
      <c r="W138" s="46">
        <f t="shared" si="72"/>
        <v>0</v>
      </c>
      <c r="X138" s="46">
        <f t="shared" si="72"/>
        <v>0</v>
      </c>
      <c r="Y138" s="16">
        <v>1187</v>
      </c>
      <c r="Z138" s="46">
        <f>SUM(Z134:Z137)</f>
        <v>7</v>
      </c>
      <c r="AA138" s="46">
        <f aca="true" t="shared" si="73" ref="AA138:AK138">SUM(AA134:AA137)</f>
        <v>6</v>
      </c>
      <c r="AB138" s="46">
        <f t="shared" si="73"/>
        <v>0</v>
      </c>
      <c r="AC138" s="46">
        <f t="shared" si="73"/>
        <v>0</v>
      </c>
      <c r="AD138" s="46">
        <f t="shared" si="73"/>
        <v>0</v>
      </c>
      <c r="AE138" s="46">
        <f t="shared" si="73"/>
        <v>0</v>
      </c>
      <c r="AF138" s="46">
        <f t="shared" si="73"/>
        <v>0</v>
      </c>
      <c r="AG138" s="46">
        <f t="shared" si="73"/>
        <v>0</v>
      </c>
      <c r="AH138" s="46">
        <f t="shared" si="73"/>
        <v>0</v>
      </c>
      <c r="AI138" s="46">
        <f t="shared" si="73"/>
        <v>0</v>
      </c>
      <c r="AJ138" s="46">
        <f t="shared" si="73"/>
        <v>0</v>
      </c>
      <c r="AK138" s="46">
        <f t="shared" si="73"/>
        <v>0</v>
      </c>
      <c r="AL138" s="13">
        <f t="shared" si="36"/>
        <v>13</v>
      </c>
      <c r="AM138" s="46">
        <f aca="true" t="shared" si="74" ref="AM138:AX138">SUM(AM134:AM137)</f>
        <v>0</v>
      </c>
      <c r="AN138" s="46">
        <f t="shared" si="74"/>
        <v>0</v>
      </c>
      <c r="AO138" s="46">
        <f t="shared" si="74"/>
        <v>0</v>
      </c>
      <c r="AP138" s="46">
        <f t="shared" si="74"/>
        <v>0</v>
      </c>
      <c r="AQ138" s="46">
        <f t="shared" si="74"/>
        <v>0</v>
      </c>
      <c r="AR138" s="46">
        <f t="shared" si="74"/>
        <v>0</v>
      </c>
      <c r="AS138" s="46">
        <f t="shared" si="74"/>
        <v>0</v>
      </c>
      <c r="AT138" s="46">
        <f t="shared" si="74"/>
        <v>0</v>
      </c>
      <c r="AU138" s="46">
        <f t="shared" si="74"/>
        <v>0</v>
      </c>
      <c r="AV138" s="46">
        <f t="shared" si="74"/>
        <v>0</v>
      </c>
      <c r="AW138" s="46">
        <f t="shared" si="74"/>
        <v>0</v>
      </c>
      <c r="AX138" s="46">
        <f t="shared" si="74"/>
        <v>0</v>
      </c>
      <c r="AY138" s="13">
        <f t="shared" si="37"/>
        <v>0</v>
      </c>
    </row>
    <row r="139" spans="1:51" ht="15" thickBot="1">
      <c r="A139" s="110" t="s">
        <v>199</v>
      </c>
      <c r="B139" s="103" t="s">
        <v>192</v>
      </c>
      <c r="C139" s="63"/>
      <c r="D139" s="63"/>
      <c r="E139" s="101">
        <v>13</v>
      </c>
      <c r="F139" s="101"/>
      <c r="G139" s="101"/>
      <c r="H139" s="101"/>
      <c r="I139" s="101"/>
      <c r="J139" s="101"/>
      <c r="K139" s="101"/>
      <c r="L139" s="109"/>
      <c r="M139" s="109"/>
      <c r="N139" s="109"/>
      <c r="O139" s="109"/>
      <c r="P139" s="134"/>
      <c r="Q139" s="6">
        <f t="shared" si="70"/>
        <v>13</v>
      </c>
      <c r="S139" s="51">
        <v>103</v>
      </c>
      <c r="T139" s="49">
        <f aca="true" t="shared" si="75" ref="T139:T145">+S139+(Z139+AA139+AB139)-(AM139+AN139+AO139)</f>
        <v>103</v>
      </c>
      <c r="U139" s="17"/>
      <c r="V139" s="61">
        <f t="shared" si="35"/>
        <v>0</v>
      </c>
      <c r="W139" s="61">
        <f aca="true" t="shared" si="76" ref="W139:W145">+U139+(AF139+AG139+AH139+AI139)-(AS139+AT139+AU139+AV139)</f>
        <v>0</v>
      </c>
      <c r="X139" s="7"/>
      <c r="Y139" s="5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9"/>
      <c r="AL139" s="6">
        <f t="shared" si="36"/>
        <v>0</v>
      </c>
      <c r="AM139" s="101"/>
      <c r="AN139" s="101"/>
      <c r="AO139" s="101"/>
      <c r="AP139" s="101"/>
      <c r="AQ139" s="101"/>
      <c r="AR139" s="101"/>
      <c r="AS139" s="101"/>
      <c r="AT139" s="109"/>
      <c r="AU139" s="109"/>
      <c r="AV139" s="109"/>
      <c r="AW139" s="109"/>
      <c r="AX139" s="109"/>
      <c r="AY139" s="6">
        <f t="shared" si="37"/>
        <v>0</v>
      </c>
    </row>
    <row r="140" spans="1:51" ht="15" thickBot="1">
      <c r="A140" s="110" t="s">
        <v>199</v>
      </c>
      <c r="B140" s="103" t="s">
        <v>193</v>
      </c>
      <c r="C140" s="63"/>
      <c r="D140" s="63"/>
      <c r="E140" s="101">
        <v>2</v>
      </c>
      <c r="F140" s="101">
        <v>0</v>
      </c>
      <c r="G140" s="101"/>
      <c r="H140" s="101"/>
      <c r="I140" s="101"/>
      <c r="J140" s="101"/>
      <c r="K140" s="101"/>
      <c r="L140" s="109"/>
      <c r="M140" s="109"/>
      <c r="N140" s="109"/>
      <c r="O140" s="109"/>
      <c r="P140" s="134"/>
      <c r="Q140" s="6">
        <f t="shared" si="70"/>
        <v>2</v>
      </c>
      <c r="S140" s="51">
        <v>6</v>
      </c>
      <c r="T140" s="49">
        <f t="shared" si="75"/>
        <v>6</v>
      </c>
      <c r="U140" s="17"/>
      <c r="V140" s="61">
        <f aca="true" t="shared" si="77" ref="V140:V145">+U140+(AF140+AG140)-(AS140+AT140)</f>
        <v>0</v>
      </c>
      <c r="W140" s="61">
        <f t="shared" si="76"/>
        <v>0</v>
      </c>
      <c r="X140" s="7"/>
      <c r="Y140" s="5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9"/>
      <c r="AL140" s="6">
        <f aca="true" t="shared" si="78" ref="AL140:AL146">SUM(Z140:AK140)</f>
        <v>0</v>
      </c>
      <c r="AM140" s="101"/>
      <c r="AN140" s="101">
        <v>0</v>
      </c>
      <c r="AO140" s="101"/>
      <c r="AP140" s="101"/>
      <c r="AQ140" s="101"/>
      <c r="AR140" s="101"/>
      <c r="AS140" s="101"/>
      <c r="AT140" s="109"/>
      <c r="AU140" s="109"/>
      <c r="AV140" s="109"/>
      <c r="AW140" s="109"/>
      <c r="AX140" s="109"/>
      <c r="AY140" s="6">
        <f aca="true" t="shared" si="79" ref="AY140:AY146">SUM(AM140:AX140)</f>
        <v>0</v>
      </c>
    </row>
    <row r="141" spans="1:51" ht="15" thickBot="1">
      <c r="A141" s="110" t="s">
        <v>199</v>
      </c>
      <c r="B141" s="103" t="s">
        <v>194</v>
      </c>
      <c r="C141" s="63"/>
      <c r="D141" s="63"/>
      <c r="E141" s="101">
        <v>9</v>
      </c>
      <c r="F141" s="101">
        <v>0</v>
      </c>
      <c r="G141" s="101"/>
      <c r="H141" s="101"/>
      <c r="I141" s="101"/>
      <c r="J141" s="101"/>
      <c r="K141" s="101"/>
      <c r="L141" s="109"/>
      <c r="M141" s="109"/>
      <c r="N141" s="109"/>
      <c r="O141" s="109"/>
      <c r="P141" s="134"/>
      <c r="Q141" s="6">
        <f t="shared" si="70"/>
        <v>9</v>
      </c>
      <c r="S141" s="51">
        <v>29</v>
      </c>
      <c r="T141" s="49">
        <f t="shared" si="75"/>
        <v>29</v>
      </c>
      <c r="U141" s="17"/>
      <c r="V141" s="61">
        <f t="shared" si="77"/>
        <v>0</v>
      </c>
      <c r="W141" s="61">
        <f t="shared" si="76"/>
        <v>0</v>
      </c>
      <c r="X141" s="7"/>
      <c r="Y141" s="5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9"/>
      <c r="AL141" s="6">
        <f t="shared" si="78"/>
        <v>0</v>
      </c>
      <c r="AM141" s="101"/>
      <c r="AN141" s="101"/>
      <c r="AO141" s="101"/>
      <c r="AP141" s="101"/>
      <c r="AQ141" s="101"/>
      <c r="AR141" s="101"/>
      <c r="AS141" s="101"/>
      <c r="AT141" s="109"/>
      <c r="AU141" s="109"/>
      <c r="AV141" s="109"/>
      <c r="AW141" s="109"/>
      <c r="AX141" s="109"/>
      <c r="AY141" s="6">
        <f t="shared" si="79"/>
        <v>0</v>
      </c>
    </row>
    <row r="142" spans="1:51" ht="15" thickBot="1">
      <c r="A142" s="110" t="s">
        <v>199</v>
      </c>
      <c r="B142" s="103" t="s">
        <v>195</v>
      </c>
      <c r="C142" s="63"/>
      <c r="D142" s="63"/>
      <c r="E142" s="101">
        <v>0</v>
      </c>
      <c r="F142" s="101">
        <v>0</v>
      </c>
      <c r="G142" s="101"/>
      <c r="H142" s="101"/>
      <c r="I142" s="101"/>
      <c r="J142" s="101"/>
      <c r="K142" s="101"/>
      <c r="L142" s="109"/>
      <c r="M142" s="109"/>
      <c r="N142" s="109"/>
      <c r="O142" s="109"/>
      <c r="P142" s="134"/>
      <c r="Q142" s="6">
        <f t="shared" si="70"/>
        <v>0</v>
      </c>
      <c r="S142" s="51">
        <v>13</v>
      </c>
      <c r="T142" s="49">
        <f t="shared" si="75"/>
        <v>13</v>
      </c>
      <c r="U142" s="17"/>
      <c r="V142" s="61">
        <f t="shared" si="77"/>
        <v>0</v>
      </c>
      <c r="W142" s="61">
        <f t="shared" si="76"/>
        <v>0</v>
      </c>
      <c r="X142" s="7"/>
      <c r="Y142" s="5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9"/>
      <c r="AL142" s="6">
        <f t="shared" si="78"/>
        <v>0</v>
      </c>
      <c r="AM142" s="101"/>
      <c r="AN142" s="101"/>
      <c r="AO142" s="101"/>
      <c r="AP142" s="101"/>
      <c r="AQ142" s="101"/>
      <c r="AR142" s="101"/>
      <c r="AS142" s="101"/>
      <c r="AT142" s="109"/>
      <c r="AU142" s="109"/>
      <c r="AV142" s="109"/>
      <c r="AW142" s="109"/>
      <c r="AX142" s="109"/>
      <c r="AY142" s="6">
        <f t="shared" si="79"/>
        <v>0</v>
      </c>
    </row>
    <row r="143" spans="1:51" ht="15" thickBot="1">
      <c r="A143" s="110" t="s">
        <v>199</v>
      </c>
      <c r="B143" s="103" t="s">
        <v>196</v>
      </c>
      <c r="C143" s="63"/>
      <c r="D143" s="63"/>
      <c r="E143" s="101"/>
      <c r="F143" s="101"/>
      <c r="G143" s="101"/>
      <c r="H143" s="101"/>
      <c r="I143" s="101"/>
      <c r="J143" s="101"/>
      <c r="K143" s="101"/>
      <c r="L143" s="109"/>
      <c r="M143" s="109"/>
      <c r="N143" s="109"/>
      <c r="O143" s="109"/>
      <c r="P143" s="134"/>
      <c r="Q143" s="6">
        <f t="shared" si="70"/>
        <v>0</v>
      </c>
      <c r="S143" s="51">
        <v>46</v>
      </c>
      <c r="T143" s="49">
        <f t="shared" si="75"/>
        <v>46</v>
      </c>
      <c r="U143" s="17"/>
      <c r="V143" s="61">
        <f t="shared" si="77"/>
        <v>0</v>
      </c>
      <c r="W143" s="61">
        <f t="shared" si="76"/>
        <v>0</v>
      </c>
      <c r="X143" s="7"/>
      <c r="Y143" s="5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9"/>
      <c r="AL143" s="6">
        <f t="shared" si="78"/>
        <v>0</v>
      </c>
      <c r="AM143" s="101"/>
      <c r="AN143" s="101"/>
      <c r="AO143" s="101"/>
      <c r="AP143" s="101"/>
      <c r="AQ143" s="101"/>
      <c r="AR143" s="101"/>
      <c r="AS143" s="101"/>
      <c r="AT143" s="109"/>
      <c r="AU143" s="109"/>
      <c r="AV143" s="109"/>
      <c r="AW143" s="109"/>
      <c r="AX143" s="109"/>
      <c r="AY143" s="6">
        <f t="shared" si="79"/>
        <v>0</v>
      </c>
    </row>
    <row r="144" spans="1:51" ht="15" thickBot="1">
      <c r="A144" s="110" t="s">
        <v>199</v>
      </c>
      <c r="B144" s="103" t="s">
        <v>197</v>
      </c>
      <c r="C144" s="63"/>
      <c r="D144" s="63"/>
      <c r="E144" s="101">
        <v>1</v>
      </c>
      <c r="F144" s="101">
        <v>0</v>
      </c>
      <c r="G144" s="101"/>
      <c r="H144" s="101"/>
      <c r="I144" s="101"/>
      <c r="J144" s="101"/>
      <c r="K144" s="101"/>
      <c r="L144" s="109"/>
      <c r="M144" s="109"/>
      <c r="N144" s="109"/>
      <c r="O144" s="109"/>
      <c r="P144" s="134"/>
      <c r="Q144" s="6">
        <f t="shared" si="70"/>
        <v>1</v>
      </c>
      <c r="S144" s="51">
        <v>38</v>
      </c>
      <c r="T144" s="49">
        <f t="shared" si="75"/>
        <v>38</v>
      </c>
      <c r="U144" s="17"/>
      <c r="V144" s="61">
        <f t="shared" si="77"/>
        <v>0</v>
      </c>
      <c r="W144" s="61">
        <f t="shared" si="76"/>
        <v>0</v>
      </c>
      <c r="X144" s="7"/>
      <c r="Y144" s="5"/>
      <c r="Z144" s="101"/>
      <c r="AA144" s="101">
        <v>0</v>
      </c>
      <c r="AB144" s="101"/>
      <c r="AC144" s="101"/>
      <c r="AD144" s="101"/>
      <c r="AE144" s="101"/>
      <c r="AF144" s="101"/>
      <c r="AG144" s="101"/>
      <c r="AH144" s="101"/>
      <c r="AI144" s="101"/>
      <c r="AJ144" s="109"/>
      <c r="AL144" s="6">
        <f t="shared" si="78"/>
        <v>0</v>
      </c>
      <c r="AM144" s="101"/>
      <c r="AN144" s="101">
        <v>0</v>
      </c>
      <c r="AO144" s="101"/>
      <c r="AP144" s="101"/>
      <c r="AQ144" s="101"/>
      <c r="AR144" s="101"/>
      <c r="AS144" s="101"/>
      <c r="AT144" s="109"/>
      <c r="AU144" s="109"/>
      <c r="AV144" s="109"/>
      <c r="AW144" s="109"/>
      <c r="AX144" s="109"/>
      <c r="AY144" s="6">
        <f t="shared" si="79"/>
        <v>0</v>
      </c>
    </row>
    <row r="145" spans="1:51" ht="15" thickBot="1">
      <c r="A145" s="110" t="s">
        <v>199</v>
      </c>
      <c r="B145" s="103" t="s">
        <v>198</v>
      </c>
      <c r="C145" s="63"/>
      <c r="D145" s="63"/>
      <c r="E145" s="101">
        <v>0</v>
      </c>
      <c r="F145" s="101"/>
      <c r="G145" s="101"/>
      <c r="H145" s="101"/>
      <c r="I145" s="101"/>
      <c r="J145" s="101"/>
      <c r="K145" s="101"/>
      <c r="L145" s="109"/>
      <c r="M145" s="109"/>
      <c r="N145" s="109"/>
      <c r="O145" s="109"/>
      <c r="P145" s="134"/>
      <c r="Q145" s="6">
        <f t="shared" si="70"/>
        <v>0</v>
      </c>
      <c r="S145" s="51">
        <v>22</v>
      </c>
      <c r="T145" s="49">
        <f t="shared" si="75"/>
        <v>22</v>
      </c>
      <c r="U145" s="17"/>
      <c r="V145" s="61">
        <f t="shared" si="77"/>
        <v>0</v>
      </c>
      <c r="W145" s="61">
        <f t="shared" si="76"/>
        <v>0</v>
      </c>
      <c r="X145" s="7"/>
      <c r="Y145" s="5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9"/>
      <c r="AL145" s="6">
        <f t="shared" si="78"/>
        <v>0</v>
      </c>
      <c r="AM145" s="101"/>
      <c r="AN145" s="101"/>
      <c r="AO145" s="101"/>
      <c r="AP145" s="101"/>
      <c r="AQ145" s="101"/>
      <c r="AR145" s="101"/>
      <c r="AS145" s="101"/>
      <c r="AT145" s="109"/>
      <c r="AU145" s="109"/>
      <c r="AV145" s="109"/>
      <c r="AW145" s="109"/>
      <c r="AX145" s="109"/>
      <c r="AY145" s="6">
        <f t="shared" si="79"/>
        <v>0</v>
      </c>
    </row>
    <row r="146" spans="1:51" s="65" customFormat="1" ht="15" thickBot="1">
      <c r="A146" s="196" t="s">
        <v>210</v>
      </c>
      <c r="B146" s="197"/>
      <c r="C146" s="45">
        <f>+D146/Metas!H35</f>
        <v>1.4194867136043605</v>
      </c>
      <c r="D146" s="19">
        <f>+Q146/R146</f>
        <v>0.09652509652509653</v>
      </c>
      <c r="E146" s="14">
        <f aca="true" t="shared" si="80" ref="E146:P146">SUM(E139:E145)</f>
        <v>25</v>
      </c>
      <c r="F146" s="14">
        <f t="shared" si="80"/>
        <v>0</v>
      </c>
      <c r="G146" s="14">
        <f t="shared" si="80"/>
        <v>0</v>
      </c>
      <c r="H146" s="14">
        <f t="shared" si="80"/>
        <v>0</v>
      </c>
      <c r="I146" s="14">
        <f t="shared" si="80"/>
        <v>0</v>
      </c>
      <c r="J146" s="14">
        <f>SUM(J139:J145)</f>
        <v>0</v>
      </c>
      <c r="K146" s="14">
        <f t="shared" si="80"/>
        <v>0</v>
      </c>
      <c r="L146" s="14">
        <f t="shared" si="80"/>
        <v>0</v>
      </c>
      <c r="M146" s="14">
        <f t="shared" si="80"/>
        <v>0</v>
      </c>
      <c r="N146" s="14">
        <f t="shared" si="80"/>
        <v>0</v>
      </c>
      <c r="O146" s="14">
        <f t="shared" si="80"/>
        <v>0</v>
      </c>
      <c r="P146" s="14">
        <f t="shared" si="80"/>
        <v>0</v>
      </c>
      <c r="Q146" s="14">
        <f>SUM(Q139:Q145)</f>
        <v>25</v>
      </c>
      <c r="R146" s="15">
        <f>+Y146-T146</f>
        <v>259</v>
      </c>
      <c r="S146" s="14">
        <f aca="true" t="shared" si="81" ref="S146:X146">SUM(S139:S145)</f>
        <v>257</v>
      </c>
      <c r="T146" s="14">
        <f t="shared" si="81"/>
        <v>257</v>
      </c>
      <c r="U146" s="14">
        <f t="shared" si="81"/>
        <v>0</v>
      </c>
      <c r="V146" s="13">
        <f t="shared" si="81"/>
        <v>0</v>
      </c>
      <c r="W146" s="46">
        <f t="shared" si="81"/>
        <v>0</v>
      </c>
      <c r="X146" s="46">
        <f t="shared" si="81"/>
        <v>0</v>
      </c>
      <c r="Y146" s="16">
        <v>516</v>
      </c>
      <c r="Z146" s="13">
        <f>SUM(Z139:Z145)</f>
        <v>0</v>
      </c>
      <c r="AA146" s="13">
        <f aca="true" t="shared" si="82" ref="AA146:AK146">SUM(AA139:AA145)</f>
        <v>0</v>
      </c>
      <c r="AB146" s="13">
        <f t="shared" si="82"/>
        <v>0</v>
      </c>
      <c r="AC146" s="13">
        <f t="shared" si="82"/>
        <v>0</v>
      </c>
      <c r="AD146" s="13">
        <f t="shared" si="82"/>
        <v>0</v>
      </c>
      <c r="AE146" s="13">
        <f t="shared" si="82"/>
        <v>0</v>
      </c>
      <c r="AF146" s="13">
        <f t="shared" si="82"/>
        <v>0</v>
      </c>
      <c r="AG146" s="13">
        <f t="shared" si="82"/>
        <v>0</v>
      </c>
      <c r="AH146" s="13">
        <f t="shared" si="82"/>
        <v>0</v>
      </c>
      <c r="AI146" s="13">
        <f t="shared" si="82"/>
        <v>0</v>
      </c>
      <c r="AJ146" s="13">
        <f t="shared" si="82"/>
        <v>0</v>
      </c>
      <c r="AK146" s="13">
        <f t="shared" si="82"/>
        <v>0</v>
      </c>
      <c r="AL146" s="13">
        <f t="shared" si="78"/>
        <v>0</v>
      </c>
      <c r="AM146" s="13">
        <f aca="true" t="shared" si="83" ref="AM146:AX146">SUM(AM139:AM145)</f>
        <v>0</v>
      </c>
      <c r="AN146" s="13">
        <f t="shared" si="83"/>
        <v>0</v>
      </c>
      <c r="AO146" s="13">
        <f t="shared" si="83"/>
        <v>0</v>
      </c>
      <c r="AP146" s="13">
        <f t="shared" si="83"/>
        <v>0</v>
      </c>
      <c r="AQ146" s="13">
        <f t="shared" si="83"/>
        <v>0</v>
      </c>
      <c r="AR146" s="13">
        <f t="shared" si="83"/>
        <v>0</v>
      </c>
      <c r="AS146" s="13">
        <f t="shared" si="83"/>
        <v>0</v>
      </c>
      <c r="AT146" s="13">
        <f t="shared" si="83"/>
        <v>0</v>
      </c>
      <c r="AU146" s="13">
        <f t="shared" si="83"/>
        <v>0</v>
      </c>
      <c r="AV146" s="13">
        <f t="shared" si="83"/>
        <v>0</v>
      </c>
      <c r="AW146" s="13">
        <f t="shared" si="83"/>
        <v>0</v>
      </c>
      <c r="AX146" s="13">
        <f t="shared" si="83"/>
        <v>0</v>
      </c>
      <c r="AY146" s="13">
        <f t="shared" si="79"/>
        <v>0</v>
      </c>
    </row>
    <row r="147" spans="2:51" ht="14.25">
      <c r="B147" s="148" t="s">
        <v>215</v>
      </c>
      <c r="C147" s="72"/>
      <c r="D147" s="73"/>
      <c r="E147" s="96">
        <f aca="true" t="shared" si="84" ref="E147:AY147">+E25+E36+E47+E61+E72+E78+E89+E106+E119+E133+E138+E146</f>
        <v>822</v>
      </c>
      <c r="F147" s="96">
        <f t="shared" si="84"/>
        <v>720</v>
      </c>
      <c r="G147" s="96">
        <f t="shared" si="84"/>
        <v>0</v>
      </c>
      <c r="H147" s="96">
        <f t="shared" si="84"/>
        <v>0</v>
      </c>
      <c r="I147" s="96">
        <f t="shared" si="84"/>
        <v>0</v>
      </c>
      <c r="J147" s="96">
        <f t="shared" si="84"/>
        <v>0</v>
      </c>
      <c r="K147" s="96">
        <f t="shared" si="84"/>
        <v>0</v>
      </c>
      <c r="L147" s="96">
        <f t="shared" si="84"/>
        <v>0</v>
      </c>
      <c r="M147" s="96">
        <f t="shared" si="84"/>
        <v>0</v>
      </c>
      <c r="N147" s="96">
        <f t="shared" si="84"/>
        <v>0</v>
      </c>
      <c r="O147" s="96">
        <f t="shared" si="84"/>
        <v>0</v>
      </c>
      <c r="P147" s="96">
        <f t="shared" si="84"/>
        <v>0</v>
      </c>
      <c r="Q147" s="96">
        <f t="shared" si="84"/>
        <v>1542</v>
      </c>
      <c r="R147" s="69">
        <f t="shared" si="84"/>
        <v>46917</v>
      </c>
      <c r="S147" s="76">
        <f t="shared" si="84"/>
        <v>22135</v>
      </c>
      <c r="T147" s="76">
        <f t="shared" si="84"/>
        <v>22451</v>
      </c>
      <c r="U147" s="76">
        <f t="shared" si="84"/>
        <v>0</v>
      </c>
      <c r="V147" s="69">
        <f t="shared" si="84"/>
        <v>0</v>
      </c>
      <c r="W147" s="69">
        <f>+W25+W36+W47+W61+W72+W78+W89+W106+W119+W133+W138+W146</f>
        <v>0</v>
      </c>
      <c r="X147" s="69">
        <f t="shared" si="84"/>
        <v>0</v>
      </c>
      <c r="Y147" s="69">
        <f t="shared" si="84"/>
        <v>69368</v>
      </c>
      <c r="Z147" s="69">
        <f t="shared" si="84"/>
        <v>195</v>
      </c>
      <c r="AA147" s="69">
        <f t="shared" si="84"/>
        <v>221</v>
      </c>
      <c r="AB147" s="69">
        <f t="shared" si="84"/>
        <v>0</v>
      </c>
      <c r="AC147" s="69">
        <f t="shared" si="84"/>
        <v>0</v>
      </c>
      <c r="AD147" s="69">
        <f t="shared" si="84"/>
        <v>0</v>
      </c>
      <c r="AE147" s="69">
        <f t="shared" si="84"/>
        <v>0</v>
      </c>
      <c r="AF147" s="69">
        <f t="shared" si="84"/>
        <v>0</v>
      </c>
      <c r="AG147" s="69">
        <f t="shared" si="84"/>
        <v>0</v>
      </c>
      <c r="AH147" s="69">
        <f t="shared" si="84"/>
        <v>0</v>
      </c>
      <c r="AI147" s="69">
        <f t="shared" si="84"/>
        <v>0</v>
      </c>
      <c r="AJ147" s="69">
        <f t="shared" si="84"/>
        <v>0</v>
      </c>
      <c r="AK147" s="69">
        <f t="shared" si="84"/>
        <v>0</v>
      </c>
      <c r="AL147" s="69">
        <f t="shared" si="84"/>
        <v>416</v>
      </c>
      <c r="AM147" s="62">
        <f t="shared" si="84"/>
        <v>40</v>
      </c>
      <c r="AN147" s="62">
        <f t="shared" si="84"/>
        <v>60</v>
      </c>
      <c r="AO147" s="62">
        <f t="shared" si="84"/>
        <v>0</v>
      </c>
      <c r="AP147" s="62">
        <f t="shared" si="84"/>
        <v>0</v>
      </c>
      <c r="AQ147" s="62">
        <f t="shared" si="84"/>
        <v>0</v>
      </c>
      <c r="AR147" s="62">
        <f t="shared" si="84"/>
        <v>0</v>
      </c>
      <c r="AS147" s="62">
        <f t="shared" si="84"/>
        <v>0</v>
      </c>
      <c r="AT147" s="62">
        <f t="shared" si="84"/>
        <v>0</v>
      </c>
      <c r="AU147" s="62">
        <f t="shared" si="84"/>
        <v>0</v>
      </c>
      <c r="AV147" s="62">
        <f t="shared" si="84"/>
        <v>0</v>
      </c>
      <c r="AW147" s="62">
        <f t="shared" si="84"/>
        <v>0</v>
      </c>
      <c r="AX147" s="62">
        <f t="shared" si="84"/>
        <v>0</v>
      </c>
      <c r="AY147" s="69">
        <f t="shared" si="84"/>
        <v>100</v>
      </c>
    </row>
    <row r="148" spans="3:4" ht="14.25">
      <c r="C148" s="74"/>
      <c r="D148" s="98"/>
    </row>
    <row r="149" spans="4:17" ht="14.25">
      <c r="D149" s="98"/>
      <c r="Q149" s="69"/>
    </row>
  </sheetData>
  <sheetProtection/>
  <mergeCells count="23">
    <mergeCell ref="A146:B146"/>
    <mergeCell ref="A72:B72"/>
    <mergeCell ref="A78:B78"/>
    <mergeCell ref="A89:B89"/>
    <mergeCell ref="A106:B106"/>
    <mergeCell ref="A119:B119"/>
    <mergeCell ref="E10:Q10"/>
    <mergeCell ref="Z10:AL10"/>
    <mergeCell ref="A1:A10"/>
    <mergeCell ref="A133:B133"/>
    <mergeCell ref="A138:B138"/>
    <mergeCell ref="A47:B47"/>
    <mergeCell ref="S10:X10"/>
    <mergeCell ref="AM10:AY10"/>
    <mergeCell ref="D1:D10"/>
    <mergeCell ref="C1:C11"/>
    <mergeCell ref="A61:B61"/>
    <mergeCell ref="A25:B25"/>
    <mergeCell ref="A36:B36"/>
    <mergeCell ref="B1:B10"/>
    <mergeCell ref="E1:AY1"/>
    <mergeCell ref="E2:Q9"/>
    <mergeCell ref="R2:AY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8"/>
  <sheetViews>
    <sheetView zoomScale="80" zoomScaleNormal="8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11.421875" defaultRowHeight="15"/>
  <cols>
    <col min="1" max="1" width="29.00390625" style="110" customWidth="1"/>
    <col min="2" max="2" width="36.7109375" style="110" bestFit="1" customWidth="1"/>
    <col min="3" max="3" width="14.421875" style="62" customWidth="1"/>
    <col min="4" max="4" width="12.7109375" style="62" customWidth="1"/>
    <col min="5" max="6" width="9.8515625" style="76" customWidth="1"/>
    <col min="7" max="16" width="9.8515625" style="62" customWidth="1"/>
    <col min="17" max="17" width="11.7109375" style="62" bestFit="1" customWidth="1"/>
    <col min="18" max="18" width="16.28125" style="62" customWidth="1"/>
    <col min="19" max="19" width="16.7109375" style="62" customWidth="1"/>
    <col min="20" max="16384" width="11.421875" style="62" customWidth="1"/>
  </cols>
  <sheetData>
    <row r="1" spans="1:19" ht="94.5" customHeight="1" thickBot="1" thickTop="1">
      <c r="A1" s="204" t="s">
        <v>0</v>
      </c>
      <c r="B1" s="198" t="s">
        <v>1</v>
      </c>
      <c r="C1" s="198" t="s">
        <v>217</v>
      </c>
      <c r="D1" s="222" t="s">
        <v>213</v>
      </c>
      <c r="E1" s="233" t="s">
        <v>37</v>
      </c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</row>
    <row r="2" spans="1:19" ht="15" customHeight="1">
      <c r="A2" s="205"/>
      <c r="B2" s="208"/>
      <c r="C2" s="199"/>
      <c r="D2" s="223"/>
      <c r="E2" s="212" t="s">
        <v>3</v>
      </c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12" t="s">
        <v>4</v>
      </c>
      <c r="S2" s="209"/>
    </row>
    <row r="3" spans="1:19" ht="15" customHeight="1">
      <c r="A3" s="205"/>
      <c r="B3" s="208"/>
      <c r="C3" s="199"/>
      <c r="D3" s="223"/>
      <c r="E3" s="214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4"/>
      <c r="S3" s="210"/>
    </row>
    <row r="4" spans="1:19" ht="15" customHeight="1">
      <c r="A4" s="205"/>
      <c r="B4" s="208"/>
      <c r="C4" s="199"/>
      <c r="D4" s="223"/>
      <c r="E4" s="214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4"/>
      <c r="S4" s="210"/>
    </row>
    <row r="5" spans="1:19" ht="15" customHeight="1">
      <c r="A5" s="205"/>
      <c r="B5" s="208"/>
      <c r="C5" s="199"/>
      <c r="D5" s="223"/>
      <c r="E5" s="214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4"/>
      <c r="S5" s="210"/>
    </row>
    <row r="6" spans="1:19" ht="15" customHeight="1">
      <c r="A6" s="205"/>
      <c r="B6" s="208"/>
      <c r="C6" s="199"/>
      <c r="D6" s="223"/>
      <c r="E6" s="214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4"/>
      <c r="S6" s="210"/>
    </row>
    <row r="7" spans="1:19" ht="15" customHeight="1">
      <c r="A7" s="205"/>
      <c r="B7" s="208"/>
      <c r="C7" s="199"/>
      <c r="D7" s="223"/>
      <c r="E7" s="214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4"/>
      <c r="S7" s="210"/>
    </row>
    <row r="8" spans="1:19" ht="15" customHeight="1">
      <c r="A8" s="205"/>
      <c r="B8" s="208"/>
      <c r="C8" s="199"/>
      <c r="D8" s="223"/>
      <c r="E8" s="214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4"/>
      <c r="S8" s="210"/>
    </row>
    <row r="9" spans="1:19" ht="15.75" customHeight="1" thickBot="1">
      <c r="A9" s="205"/>
      <c r="B9" s="208"/>
      <c r="C9" s="199"/>
      <c r="D9" s="223"/>
      <c r="E9" s="216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6"/>
      <c r="S9" s="211"/>
    </row>
    <row r="10" spans="1:19" ht="57.75" customHeight="1" thickBot="1">
      <c r="A10" s="206"/>
      <c r="B10" s="200"/>
      <c r="C10" s="199"/>
      <c r="D10" s="224"/>
      <c r="E10" s="202" t="s">
        <v>36</v>
      </c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3"/>
      <c r="R10" s="231" t="s">
        <v>41</v>
      </c>
      <c r="S10" s="231"/>
    </row>
    <row r="11" spans="1:19" ht="15" thickBot="1">
      <c r="A11" s="149"/>
      <c r="B11" s="149"/>
      <c r="C11" s="200"/>
      <c r="D11" s="140" t="s">
        <v>214</v>
      </c>
      <c r="E11" s="144" t="s">
        <v>9</v>
      </c>
      <c r="F11" s="144" t="s">
        <v>10</v>
      </c>
      <c r="G11" s="140" t="s">
        <v>11</v>
      </c>
      <c r="H11" s="140" t="s">
        <v>12</v>
      </c>
      <c r="I11" s="140" t="s">
        <v>13</v>
      </c>
      <c r="J11" s="140" t="s">
        <v>14</v>
      </c>
      <c r="K11" s="140" t="s">
        <v>15</v>
      </c>
      <c r="L11" s="140" t="s">
        <v>16</v>
      </c>
      <c r="M11" s="140" t="s">
        <v>17</v>
      </c>
      <c r="N11" s="140" t="s">
        <v>18</v>
      </c>
      <c r="O11" s="140" t="s">
        <v>19</v>
      </c>
      <c r="P11" s="140" t="s">
        <v>20</v>
      </c>
      <c r="Q11" s="140" t="s">
        <v>21</v>
      </c>
      <c r="R11" s="232"/>
      <c r="S11" s="232"/>
    </row>
    <row r="12" spans="1:19" ht="15" thickBot="1">
      <c r="A12" s="1" t="s">
        <v>78</v>
      </c>
      <c r="B12" s="110" t="s">
        <v>65</v>
      </c>
      <c r="C12" s="63"/>
      <c r="E12" s="119">
        <v>58</v>
      </c>
      <c r="F12" s="119">
        <v>136</v>
      </c>
      <c r="G12" s="120"/>
      <c r="H12" s="101"/>
      <c r="I12" s="101"/>
      <c r="J12" s="101"/>
      <c r="K12" s="101"/>
      <c r="L12" s="109"/>
      <c r="M12" s="109"/>
      <c r="N12" s="109"/>
      <c r="O12" s="109"/>
      <c r="Q12" s="17">
        <f>SUM(E12:P12)</f>
        <v>194</v>
      </c>
      <c r="R12" s="229"/>
      <c r="S12" s="230"/>
    </row>
    <row r="13" spans="1:19" ht="15" thickBot="1">
      <c r="A13" s="1" t="s">
        <v>78</v>
      </c>
      <c r="B13" s="110" t="s">
        <v>66</v>
      </c>
      <c r="C13" s="63"/>
      <c r="E13" s="119">
        <v>87</v>
      </c>
      <c r="F13" s="119">
        <v>102</v>
      </c>
      <c r="G13" s="120"/>
      <c r="H13" s="101"/>
      <c r="I13" s="101"/>
      <c r="J13" s="101"/>
      <c r="K13" s="101"/>
      <c r="L13" s="109"/>
      <c r="M13" s="109"/>
      <c r="N13" s="109"/>
      <c r="O13" s="109"/>
      <c r="Q13" s="17">
        <f aca="true" t="shared" si="0" ref="Q13:Q24">SUM(E13:P13)</f>
        <v>189</v>
      </c>
      <c r="R13" s="229"/>
      <c r="S13" s="230"/>
    </row>
    <row r="14" spans="1:19" ht="15" thickBot="1">
      <c r="A14" s="1" t="s">
        <v>78</v>
      </c>
      <c r="B14" s="110" t="s">
        <v>67</v>
      </c>
      <c r="C14" s="63"/>
      <c r="E14" s="119">
        <v>69</v>
      </c>
      <c r="F14" s="119">
        <v>101</v>
      </c>
      <c r="G14" s="120"/>
      <c r="H14" s="101"/>
      <c r="I14" s="101"/>
      <c r="J14" s="101"/>
      <c r="K14" s="101"/>
      <c r="L14" s="109"/>
      <c r="M14" s="109"/>
      <c r="N14" s="109"/>
      <c r="O14" s="109"/>
      <c r="Q14" s="17">
        <f t="shared" si="0"/>
        <v>170</v>
      </c>
      <c r="R14" s="229"/>
      <c r="S14" s="230"/>
    </row>
    <row r="15" spans="1:19" ht="15" thickBot="1">
      <c r="A15" s="1" t="s">
        <v>78</v>
      </c>
      <c r="B15" s="110" t="s">
        <v>68</v>
      </c>
      <c r="C15" s="63"/>
      <c r="E15" s="119">
        <v>43</v>
      </c>
      <c r="F15" s="119">
        <v>209</v>
      </c>
      <c r="G15" s="120"/>
      <c r="H15" s="101"/>
      <c r="I15" s="101"/>
      <c r="J15" s="101"/>
      <c r="K15" s="101"/>
      <c r="L15" s="109"/>
      <c r="M15" s="109"/>
      <c r="N15" s="109"/>
      <c r="O15" s="109"/>
      <c r="Q15" s="17">
        <f t="shared" si="0"/>
        <v>252</v>
      </c>
      <c r="R15" s="229"/>
      <c r="S15" s="230"/>
    </row>
    <row r="16" spans="1:19" ht="15" thickBot="1">
      <c r="A16" s="1" t="s">
        <v>78</v>
      </c>
      <c r="B16" s="110" t="s">
        <v>69</v>
      </c>
      <c r="C16" s="66"/>
      <c r="E16" s="119">
        <v>57</v>
      </c>
      <c r="F16" s="119">
        <v>32</v>
      </c>
      <c r="G16" s="120"/>
      <c r="H16" s="101"/>
      <c r="I16" s="101"/>
      <c r="J16" s="101"/>
      <c r="K16" s="101"/>
      <c r="L16" s="109"/>
      <c r="M16" s="109"/>
      <c r="N16" s="109"/>
      <c r="O16" s="109"/>
      <c r="Q16" s="17">
        <f t="shared" si="0"/>
        <v>89</v>
      </c>
      <c r="R16" s="229"/>
      <c r="S16" s="230"/>
    </row>
    <row r="17" spans="1:19" ht="15" thickBot="1">
      <c r="A17" s="1" t="s">
        <v>78</v>
      </c>
      <c r="B17" s="110" t="s">
        <v>70</v>
      </c>
      <c r="C17" s="63"/>
      <c r="E17" s="119">
        <v>35</v>
      </c>
      <c r="F17" s="119">
        <v>8</v>
      </c>
      <c r="G17" s="120"/>
      <c r="H17" s="101"/>
      <c r="I17" s="101"/>
      <c r="J17" s="101"/>
      <c r="K17" s="101"/>
      <c r="L17" s="109"/>
      <c r="M17" s="109"/>
      <c r="N17" s="109"/>
      <c r="O17" s="109"/>
      <c r="Q17" s="17">
        <f t="shared" si="0"/>
        <v>43</v>
      </c>
      <c r="R17" s="229"/>
      <c r="S17" s="230"/>
    </row>
    <row r="18" spans="1:19" ht="15" thickBot="1">
      <c r="A18" s="1" t="s">
        <v>78</v>
      </c>
      <c r="B18" s="110" t="s">
        <v>71</v>
      </c>
      <c r="C18" s="63"/>
      <c r="E18" s="119">
        <v>21</v>
      </c>
      <c r="F18" s="119">
        <v>28</v>
      </c>
      <c r="G18" s="120"/>
      <c r="H18" s="101"/>
      <c r="I18" s="101"/>
      <c r="J18" s="101"/>
      <c r="K18" s="101"/>
      <c r="L18" s="109"/>
      <c r="M18" s="109"/>
      <c r="N18" s="109"/>
      <c r="O18" s="109"/>
      <c r="Q18" s="17">
        <f t="shared" si="0"/>
        <v>49</v>
      </c>
      <c r="R18" s="229"/>
      <c r="S18" s="230"/>
    </row>
    <row r="19" spans="1:19" ht="15" thickBot="1">
      <c r="A19" s="1" t="s">
        <v>78</v>
      </c>
      <c r="B19" s="110" t="s">
        <v>72</v>
      </c>
      <c r="C19" s="63"/>
      <c r="E19" s="119">
        <v>8</v>
      </c>
      <c r="F19" s="119">
        <v>4</v>
      </c>
      <c r="G19" s="120"/>
      <c r="H19" s="101"/>
      <c r="I19" s="101"/>
      <c r="J19" s="101"/>
      <c r="K19" s="101"/>
      <c r="L19" s="109"/>
      <c r="M19" s="109"/>
      <c r="N19" s="109"/>
      <c r="O19" s="109"/>
      <c r="Q19" s="17">
        <f t="shared" si="0"/>
        <v>12</v>
      </c>
      <c r="R19" s="229"/>
      <c r="S19" s="230"/>
    </row>
    <row r="20" spans="1:19" ht="15" thickBot="1">
      <c r="A20" s="1" t="s">
        <v>78</v>
      </c>
      <c r="B20" s="110" t="s">
        <v>73</v>
      </c>
      <c r="C20" s="63"/>
      <c r="E20" s="119">
        <v>1</v>
      </c>
      <c r="F20" s="119">
        <v>4</v>
      </c>
      <c r="G20" s="120"/>
      <c r="H20" s="101"/>
      <c r="I20" s="101"/>
      <c r="J20" s="101"/>
      <c r="K20" s="101"/>
      <c r="L20" s="109"/>
      <c r="M20" s="109"/>
      <c r="N20" s="109"/>
      <c r="O20" s="109"/>
      <c r="Q20" s="17">
        <f t="shared" si="0"/>
        <v>5</v>
      </c>
      <c r="R20" s="229"/>
      <c r="S20" s="230"/>
    </row>
    <row r="21" spans="1:19" ht="15" thickBot="1">
      <c r="A21" s="1" t="s">
        <v>78</v>
      </c>
      <c r="B21" s="110" t="s">
        <v>74</v>
      </c>
      <c r="C21" s="67"/>
      <c r="E21" s="119">
        <v>1</v>
      </c>
      <c r="F21" s="119">
        <v>5</v>
      </c>
      <c r="G21" s="120"/>
      <c r="H21" s="101"/>
      <c r="I21" s="101"/>
      <c r="J21" s="101"/>
      <c r="K21" s="101"/>
      <c r="L21" s="109"/>
      <c r="M21" s="109"/>
      <c r="N21" s="109"/>
      <c r="O21" s="109"/>
      <c r="Q21" s="17">
        <f t="shared" si="0"/>
        <v>6</v>
      </c>
      <c r="R21" s="229"/>
      <c r="S21" s="230"/>
    </row>
    <row r="22" spans="1:19" ht="15" thickBot="1">
      <c r="A22" s="1" t="s">
        <v>78</v>
      </c>
      <c r="B22" s="110" t="s">
        <v>75</v>
      </c>
      <c r="C22" s="63"/>
      <c r="E22" s="119">
        <v>17</v>
      </c>
      <c r="F22" s="119">
        <v>17</v>
      </c>
      <c r="G22" s="120"/>
      <c r="H22" s="101"/>
      <c r="I22" s="101"/>
      <c r="J22" s="101"/>
      <c r="K22" s="101"/>
      <c r="L22" s="109"/>
      <c r="M22" s="109"/>
      <c r="N22" s="109"/>
      <c r="O22" s="109"/>
      <c r="Q22" s="17">
        <f t="shared" si="0"/>
        <v>34</v>
      </c>
      <c r="R22" s="229"/>
      <c r="S22" s="230"/>
    </row>
    <row r="23" spans="1:19" ht="15" thickBot="1">
      <c r="A23" s="1" t="s">
        <v>78</v>
      </c>
      <c r="B23" s="110" t="s">
        <v>76</v>
      </c>
      <c r="C23" s="63"/>
      <c r="E23" s="119">
        <v>3</v>
      </c>
      <c r="F23" s="119">
        <v>4</v>
      </c>
      <c r="G23" s="120"/>
      <c r="H23" s="101"/>
      <c r="I23" s="101"/>
      <c r="J23" s="101"/>
      <c r="K23" s="101"/>
      <c r="L23" s="109"/>
      <c r="M23" s="109"/>
      <c r="N23" s="109"/>
      <c r="O23" s="109"/>
      <c r="Q23" s="17">
        <f t="shared" si="0"/>
        <v>7</v>
      </c>
      <c r="R23" s="229"/>
      <c r="S23" s="230"/>
    </row>
    <row r="24" spans="1:19" ht="15" thickBot="1">
      <c r="A24" s="1" t="s">
        <v>78</v>
      </c>
      <c r="B24" s="110" t="s">
        <v>77</v>
      </c>
      <c r="C24" s="63"/>
      <c r="E24" s="119">
        <v>3</v>
      </c>
      <c r="F24" s="119">
        <v>3</v>
      </c>
      <c r="G24" s="120"/>
      <c r="H24" s="101"/>
      <c r="I24" s="101"/>
      <c r="J24" s="101"/>
      <c r="K24" s="101"/>
      <c r="L24" s="109"/>
      <c r="M24" s="109"/>
      <c r="N24" s="109"/>
      <c r="O24" s="109"/>
      <c r="Q24" s="17">
        <f t="shared" si="0"/>
        <v>6</v>
      </c>
      <c r="R24" s="229"/>
      <c r="S24" s="230"/>
    </row>
    <row r="25" spans="1:19" s="65" customFormat="1" ht="15" thickBot="1">
      <c r="A25" s="196" t="s">
        <v>200</v>
      </c>
      <c r="B25" s="197"/>
      <c r="C25" s="45">
        <f>+D25/Metas!I30</f>
        <v>0.9876081365443068</v>
      </c>
      <c r="D25" s="19">
        <f>+Q25/R25</f>
        <v>0.04641758241758242</v>
      </c>
      <c r="E25" s="79">
        <f>SUM(E12:E24)</f>
        <v>403</v>
      </c>
      <c r="F25" s="79">
        <f aca="true" t="shared" si="1" ref="F25:P25">SUM(F12:F24)</f>
        <v>653</v>
      </c>
      <c r="G25" s="80">
        <f t="shared" si="1"/>
        <v>0</v>
      </c>
      <c r="H25" s="75">
        <f t="shared" si="1"/>
        <v>0</v>
      </c>
      <c r="I25" s="75">
        <f t="shared" si="1"/>
        <v>0</v>
      </c>
      <c r="J25" s="75">
        <f t="shared" si="1"/>
        <v>0</v>
      </c>
      <c r="K25" s="75">
        <f t="shared" si="1"/>
        <v>0</v>
      </c>
      <c r="L25" s="75">
        <f t="shared" si="1"/>
        <v>0</v>
      </c>
      <c r="M25" s="75">
        <f t="shared" si="1"/>
        <v>0</v>
      </c>
      <c r="N25" s="75">
        <f t="shared" si="1"/>
        <v>0</v>
      </c>
      <c r="O25" s="75">
        <f t="shared" si="1"/>
        <v>0</v>
      </c>
      <c r="P25" s="75">
        <f t="shared" si="1"/>
        <v>0</v>
      </c>
      <c r="Q25" s="14">
        <f>SUM(Q12:Q24)</f>
        <v>1056</v>
      </c>
      <c r="R25" s="237">
        <v>22750</v>
      </c>
      <c r="S25" s="238"/>
    </row>
    <row r="26" spans="1:19" ht="15" thickBot="1">
      <c r="A26" s="1" t="s">
        <v>79</v>
      </c>
      <c r="B26" s="103" t="s">
        <v>80</v>
      </c>
      <c r="C26" s="63"/>
      <c r="D26" s="63"/>
      <c r="E26" s="119">
        <v>104</v>
      </c>
      <c r="F26" s="119">
        <v>112</v>
      </c>
      <c r="G26" s="120"/>
      <c r="H26" s="101"/>
      <c r="I26" s="101"/>
      <c r="J26" s="101"/>
      <c r="K26" s="101"/>
      <c r="L26" s="109"/>
      <c r="M26" s="109"/>
      <c r="N26" s="109"/>
      <c r="O26" s="109"/>
      <c r="Q26" s="17">
        <f aca="true" t="shared" si="2" ref="Q26:Q59">SUM(E26:P26)</f>
        <v>216</v>
      </c>
      <c r="R26" s="235"/>
      <c r="S26" s="236"/>
    </row>
    <row r="27" spans="1:19" ht="15" thickBot="1">
      <c r="A27" s="1" t="s">
        <v>79</v>
      </c>
      <c r="B27" s="103" t="s">
        <v>81</v>
      </c>
      <c r="C27" s="63"/>
      <c r="D27" s="63"/>
      <c r="E27" s="119">
        <v>113</v>
      </c>
      <c r="F27" s="119">
        <v>161</v>
      </c>
      <c r="G27" s="120"/>
      <c r="H27" s="101"/>
      <c r="I27" s="101"/>
      <c r="J27" s="101"/>
      <c r="K27" s="101"/>
      <c r="L27" s="109"/>
      <c r="M27" s="109"/>
      <c r="N27" s="109"/>
      <c r="O27" s="109"/>
      <c r="Q27" s="17">
        <f t="shared" si="2"/>
        <v>274</v>
      </c>
      <c r="R27" s="235"/>
      <c r="S27" s="236"/>
    </row>
    <row r="28" spans="1:19" ht="15" thickBot="1">
      <c r="A28" s="1" t="s">
        <v>79</v>
      </c>
      <c r="B28" s="103" t="s">
        <v>82</v>
      </c>
      <c r="C28" s="63"/>
      <c r="D28" s="63"/>
      <c r="E28" s="119">
        <v>189</v>
      </c>
      <c r="F28" s="119">
        <v>169</v>
      </c>
      <c r="G28" s="120"/>
      <c r="H28" s="101"/>
      <c r="I28" s="101"/>
      <c r="J28" s="101"/>
      <c r="K28" s="101"/>
      <c r="L28" s="109"/>
      <c r="M28" s="109"/>
      <c r="N28" s="109"/>
      <c r="O28" s="109"/>
      <c r="Q28" s="17">
        <f t="shared" si="2"/>
        <v>358</v>
      </c>
      <c r="R28" s="235"/>
      <c r="S28" s="236"/>
    </row>
    <row r="29" spans="1:19" ht="15" thickBot="1">
      <c r="A29" s="1" t="s">
        <v>79</v>
      </c>
      <c r="B29" s="103" t="s">
        <v>83</v>
      </c>
      <c r="C29" s="63"/>
      <c r="D29" s="63"/>
      <c r="E29" s="119">
        <v>8</v>
      </c>
      <c r="F29" s="119">
        <v>15</v>
      </c>
      <c r="G29" s="120"/>
      <c r="H29" s="101"/>
      <c r="I29" s="101"/>
      <c r="J29" s="101"/>
      <c r="K29" s="101"/>
      <c r="L29" s="109"/>
      <c r="M29" s="109"/>
      <c r="N29" s="109"/>
      <c r="O29" s="109"/>
      <c r="Q29" s="17">
        <f t="shared" si="2"/>
        <v>23</v>
      </c>
      <c r="R29" s="235"/>
      <c r="S29" s="236"/>
    </row>
    <row r="30" spans="1:19" ht="15" thickBot="1">
      <c r="A30" s="1" t="s">
        <v>79</v>
      </c>
      <c r="B30" s="103" t="s">
        <v>84</v>
      </c>
      <c r="C30" s="63"/>
      <c r="D30" s="63"/>
      <c r="E30" s="119">
        <v>248</v>
      </c>
      <c r="F30" s="119">
        <v>165</v>
      </c>
      <c r="G30" s="120"/>
      <c r="H30" s="101"/>
      <c r="I30" s="101"/>
      <c r="J30" s="101"/>
      <c r="K30" s="101"/>
      <c r="L30" s="109"/>
      <c r="M30" s="109"/>
      <c r="N30" s="109"/>
      <c r="O30" s="109"/>
      <c r="Q30" s="17">
        <f t="shared" si="2"/>
        <v>413</v>
      </c>
      <c r="R30" s="235"/>
      <c r="S30" s="236"/>
    </row>
    <row r="31" spans="1:19" ht="15" thickBot="1">
      <c r="A31" s="1" t="s">
        <v>79</v>
      </c>
      <c r="B31" s="103" t="s">
        <v>85</v>
      </c>
      <c r="C31" s="63"/>
      <c r="D31" s="63"/>
      <c r="E31" s="119">
        <v>9</v>
      </c>
      <c r="F31" s="119">
        <v>11</v>
      </c>
      <c r="G31" s="120"/>
      <c r="H31" s="101"/>
      <c r="I31" s="101"/>
      <c r="J31" s="101"/>
      <c r="K31" s="101"/>
      <c r="L31" s="109"/>
      <c r="M31" s="109"/>
      <c r="N31" s="109"/>
      <c r="O31" s="109"/>
      <c r="Q31" s="17">
        <f t="shared" si="2"/>
        <v>20</v>
      </c>
      <c r="R31" s="235"/>
      <c r="S31" s="236"/>
    </row>
    <row r="32" spans="1:19" ht="15" thickBot="1">
      <c r="A32" s="1" t="s">
        <v>79</v>
      </c>
      <c r="B32" s="103" t="s">
        <v>86</v>
      </c>
      <c r="C32" s="63"/>
      <c r="D32" s="63"/>
      <c r="E32" s="119">
        <v>2</v>
      </c>
      <c r="F32" s="119">
        <v>3</v>
      </c>
      <c r="G32" s="120"/>
      <c r="H32" s="101"/>
      <c r="I32" s="101"/>
      <c r="J32" s="101"/>
      <c r="K32" s="101"/>
      <c r="L32" s="109"/>
      <c r="M32" s="109"/>
      <c r="N32" s="109"/>
      <c r="O32" s="109"/>
      <c r="Q32" s="17">
        <f t="shared" si="2"/>
        <v>5</v>
      </c>
      <c r="R32" s="235"/>
      <c r="S32" s="236"/>
    </row>
    <row r="33" spans="1:19" ht="15" thickBot="1">
      <c r="A33" s="1" t="s">
        <v>79</v>
      </c>
      <c r="B33" s="103" t="s">
        <v>87</v>
      </c>
      <c r="C33" s="63"/>
      <c r="D33" s="63"/>
      <c r="E33" s="119">
        <v>15</v>
      </c>
      <c r="F33" s="119">
        <v>7</v>
      </c>
      <c r="G33" s="120"/>
      <c r="H33" s="101"/>
      <c r="I33" s="101"/>
      <c r="J33" s="101"/>
      <c r="K33" s="101"/>
      <c r="L33" s="109"/>
      <c r="M33" s="109"/>
      <c r="N33" s="109"/>
      <c r="O33" s="109"/>
      <c r="Q33" s="17">
        <f t="shared" si="2"/>
        <v>22</v>
      </c>
      <c r="R33" s="235"/>
      <c r="S33" s="236"/>
    </row>
    <row r="34" spans="1:19" ht="15" thickBot="1">
      <c r="A34" s="1" t="s">
        <v>79</v>
      </c>
      <c r="B34" s="103" t="s">
        <v>88</v>
      </c>
      <c r="C34" s="63"/>
      <c r="D34" s="63"/>
      <c r="E34" s="119">
        <v>6</v>
      </c>
      <c r="F34" s="119">
        <v>2</v>
      </c>
      <c r="G34" s="120"/>
      <c r="H34" s="101"/>
      <c r="I34" s="101"/>
      <c r="J34" s="101"/>
      <c r="K34" s="101"/>
      <c r="L34" s="109"/>
      <c r="M34" s="109"/>
      <c r="N34" s="109"/>
      <c r="O34" s="109"/>
      <c r="Q34" s="17">
        <f>SUM(E34:P34)</f>
        <v>8</v>
      </c>
      <c r="R34" s="235"/>
      <c r="S34" s="236"/>
    </row>
    <row r="35" spans="1:19" ht="15" thickBot="1">
      <c r="A35" s="1" t="s">
        <v>79</v>
      </c>
      <c r="B35" s="103" t="s">
        <v>89</v>
      </c>
      <c r="C35" s="63"/>
      <c r="D35" s="63"/>
      <c r="E35" s="119">
        <v>0</v>
      </c>
      <c r="F35" s="119">
        <v>3</v>
      </c>
      <c r="G35" s="120"/>
      <c r="H35" s="101"/>
      <c r="I35" s="101"/>
      <c r="J35" s="101"/>
      <c r="K35" s="101"/>
      <c r="L35" s="109"/>
      <c r="M35" s="109"/>
      <c r="N35" s="109"/>
      <c r="O35" s="109"/>
      <c r="Q35" s="17">
        <f>SUM(E35:P35)</f>
        <v>3</v>
      </c>
      <c r="R35" s="235"/>
      <c r="S35" s="236"/>
    </row>
    <row r="36" spans="1:19" s="65" customFormat="1" ht="15" thickBot="1">
      <c r="A36" s="196" t="s">
        <v>201</v>
      </c>
      <c r="B36" s="197"/>
      <c r="C36" s="45">
        <f>+D36/Metas!I28</f>
        <v>1.41476713270347</v>
      </c>
      <c r="D36" s="19">
        <f>+Q36/R36</f>
        <v>0.06507928810435963</v>
      </c>
      <c r="E36" s="54">
        <f aca="true" t="shared" si="3" ref="E36:Q36">SUM(E26:E35)</f>
        <v>694</v>
      </c>
      <c r="F36" s="54">
        <f t="shared" si="3"/>
        <v>648</v>
      </c>
      <c r="G36" s="54">
        <f t="shared" si="3"/>
        <v>0</v>
      </c>
      <c r="H36" s="14">
        <f t="shared" si="3"/>
        <v>0</v>
      </c>
      <c r="I36" s="14">
        <f t="shared" si="3"/>
        <v>0</v>
      </c>
      <c r="J36" s="14">
        <f t="shared" si="3"/>
        <v>0</v>
      </c>
      <c r="K36" s="14">
        <f t="shared" si="3"/>
        <v>0</v>
      </c>
      <c r="L36" s="14">
        <f t="shared" si="3"/>
        <v>0</v>
      </c>
      <c r="M36" s="14">
        <f t="shared" si="3"/>
        <v>0</v>
      </c>
      <c r="N36" s="14">
        <f t="shared" si="3"/>
        <v>0</v>
      </c>
      <c r="O36" s="14">
        <f t="shared" si="3"/>
        <v>0</v>
      </c>
      <c r="P36" s="14">
        <f t="shared" si="3"/>
        <v>0</v>
      </c>
      <c r="Q36" s="14">
        <f t="shared" si="3"/>
        <v>1342</v>
      </c>
      <c r="R36" s="239">
        <v>20621</v>
      </c>
      <c r="S36" s="240"/>
    </row>
    <row r="37" spans="1:19" ht="15" thickBot="1">
      <c r="A37" s="1" t="s">
        <v>100</v>
      </c>
      <c r="B37" s="103" t="s">
        <v>90</v>
      </c>
      <c r="C37" s="63"/>
      <c r="D37" s="63"/>
      <c r="E37" s="119">
        <v>5</v>
      </c>
      <c r="F37" s="119">
        <v>4</v>
      </c>
      <c r="G37" s="120"/>
      <c r="H37" s="101"/>
      <c r="I37" s="101"/>
      <c r="J37" s="101"/>
      <c r="K37" s="101"/>
      <c r="L37" s="109"/>
      <c r="M37" s="109"/>
      <c r="N37" s="109"/>
      <c r="O37" s="109"/>
      <c r="P37" s="109"/>
      <c r="Q37" s="17">
        <f t="shared" si="2"/>
        <v>9</v>
      </c>
      <c r="R37" s="235"/>
      <c r="S37" s="236"/>
    </row>
    <row r="38" spans="1:19" ht="15" thickBot="1">
      <c r="A38" s="1" t="s">
        <v>100</v>
      </c>
      <c r="B38" s="103" t="s">
        <v>91</v>
      </c>
      <c r="C38" s="63"/>
      <c r="D38" s="63"/>
      <c r="E38" s="119">
        <v>3</v>
      </c>
      <c r="F38" s="119">
        <v>1</v>
      </c>
      <c r="G38" s="120"/>
      <c r="H38" s="101"/>
      <c r="I38" s="101"/>
      <c r="J38" s="101"/>
      <c r="K38" s="101"/>
      <c r="L38" s="109"/>
      <c r="M38" s="109"/>
      <c r="N38" s="109"/>
      <c r="O38" s="109"/>
      <c r="P38" s="109"/>
      <c r="Q38" s="17">
        <f t="shared" si="2"/>
        <v>4</v>
      </c>
      <c r="R38" s="235"/>
      <c r="S38" s="236"/>
    </row>
    <row r="39" spans="1:19" ht="15" thickBot="1">
      <c r="A39" s="1" t="s">
        <v>100</v>
      </c>
      <c r="B39" s="103" t="s">
        <v>92</v>
      </c>
      <c r="C39" s="63"/>
      <c r="D39" s="63"/>
      <c r="E39" s="119">
        <v>5</v>
      </c>
      <c r="F39" s="119">
        <v>10</v>
      </c>
      <c r="G39" s="120"/>
      <c r="H39" s="101"/>
      <c r="I39" s="101"/>
      <c r="J39" s="101"/>
      <c r="K39" s="101"/>
      <c r="L39" s="109"/>
      <c r="M39" s="109"/>
      <c r="N39" s="109"/>
      <c r="O39" s="109"/>
      <c r="P39" s="109"/>
      <c r="Q39" s="17">
        <f t="shared" si="2"/>
        <v>15</v>
      </c>
      <c r="R39" s="235"/>
      <c r="S39" s="236"/>
    </row>
    <row r="40" spans="1:19" ht="15" thickBot="1">
      <c r="A40" s="1" t="s">
        <v>100</v>
      </c>
      <c r="B40" s="103" t="s">
        <v>93</v>
      </c>
      <c r="C40" s="63"/>
      <c r="D40" s="63"/>
      <c r="E40" s="119"/>
      <c r="F40" s="119"/>
      <c r="G40" s="120"/>
      <c r="H40" s="101"/>
      <c r="I40" s="101"/>
      <c r="J40" s="101"/>
      <c r="K40" s="101"/>
      <c r="L40" s="109"/>
      <c r="M40" s="109"/>
      <c r="N40" s="109"/>
      <c r="O40" s="109"/>
      <c r="P40" s="109"/>
      <c r="Q40" s="17">
        <f t="shared" si="2"/>
        <v>0</v>
      </c>
      <c r="R40" s="235"/>
      <c r="S40" s="236"/>
    </row>
    <row r="41" spans="1:19" ht="15" thickBot="1">
      <c r="A41" s="1" t="s">
        <v>100</v>
      </c>
      <c r="B41" s="103" t="s">
        <v>94</v>
      </c>
      <c r="C41" s="63"/>
      <c r="D41" s="63"/>
      <c r="E41" s="119">
        <v>3</v>
      </c>
      <c r="F41" s="119">
        <v>3</v>
      </c>
      <c r="G41" s="120"/>
      <c r="H41" s="101"/>
      <c r="I41" s="101"/>
      <c r="J41" s="101"/>
      <c r="K41" s="101"/>
      <c r="L41" s="109"/>
      <c r="M41" s="109"/>
      <c r="N41" s="109"/>
      <c r="O41" s="109"/>
      <c r="P41" s="109"/>
      <c r="Q41" s="17">
        <f t="shared" si="2"/>
        <v>6</v>
      </c>
      <c r="R41" s="235"/>
      <c r="S41" s="236"/>
    </row>
    <row r="42" spans="1:19" ht="15" thickBot="1">
      <c r="A42" s="1" t="s">
        <v>100</v>
      </c>
      <c r="B42" s="103" t="s">
        <v>95</v>
      </c>
      <c r="C42" s="63"/>
      <c r="D42" s="63"/>
      <c r="E42" s="119">
        <v>11</v>
      </c>
      <c r="F42" s="119">
        <v>8</v>
      </c>
      <c r="G42" s="120"/>
      <c r="H42" s="101"/>
      <c r="I42" s="101"/>
      <c r="J42" s="101"/>
      <c r="K42" s="101"/>
      <c r="L42" s="109"/>
      <c r="M42" s="109"/>
      <c r="N42" s="109"/>
      <c r="O42" s="109"/>
      <c r="P42" s="109"/>
      <c r="Q42" s="17">
        <f t="shared" si="2"/>
        <v>19</v>
      </c>
      <c r="R42" s="235"/>
      <c r="S42" s="236"/>
    </row>
    <row r="43" spans="1:19" ht="15" thickBot="1">
      <c r="A43" s="1" t="s">
        <v>100</v>
      </c>
      <c r="B43" s="103" t="s">
        <v>96</v>
      </c>
      <c r="C43" s="63"/>
      <c r="D43" s="63"/>
      <c r="E43" s="119">
        <v>9</v>
      </c>
      <c r="F43" s="119">
        <v>10</v>
      </c>
      <c r="G43" s="120"/>
      <c r="H43" s="101"/>
      <c r="I43" s="101"/>
      <c r="J43" s="101"/>
      <c r="K43" s="101"/>
      <c r="L43" s="109"/>
      <c r="M43" s="109"/>
      <c r="N43" s="109"/>
      <c r="O43" s="109"/>
      <c r="P43" s="109"/>
      <c r="Q43" s="17">
        <f t="shared" si="2"/>
        <v>19</v>
      </c>
      <c r="R43" s="235"/>
      <c r="S43" s="236"/>
    </row>
    <row r="44" spans="1:19" ht="15" thickBot="1">
      <c r="A44" s="1" t="s">
        <v>100</v>
      </c>
      <c r="B44" s="103" t="s">
        <v>97</v>
      </c>
      <c r="C44" s="63"/>
      <c r="D44" s="63"/>
      <c r="E44" s="119">
        <v>5</v>
      </c>
      <c r="F44" s="119"/>
      <c r="G44" s="120"/>
      <c r="H44" s="101"/>
      <c r="I44" s="101"/>
      <c r="J44" s="101"/>
      <c r="K44" s="101"/>
      <c r="L44" s="109"/>
      <c r="M44" s="109"/>
      <c r="N44" s="109"/>
      <c r="O44" s="109"/>
      <c r="P44" s="109"/>
      <c r="Q44" s="17">
        <f t="shared" si="2"/>
        <v>5</v>
      </c>
      <c r="R44" s="235"/>
      <c r="S44" s="236"/>
    </row>
    <row r="45" spans="1:19" ht="15" thickBot="1">
      <c r="A45" s="1" t="s">
        <v>100</v>
      </c>
      <c r="B45" s="103" t="s">
        <v>98</v>
      </c>
      <c r="C45" s="63"/>
      <c r="D45" s="63"/>
      <c r="E45" s="119">
        <v>14</v>
      </c>
      <c r="F45" s="119">
        <v>2</v>
      </c>
      <c r="G45" s="120"/>
      <c r="H45" s="101"/>
      <c r="I45" s="101"/>
      <c r="J45" s="101"/>
      <c r="K45" s="101"/>
      <c r="L45" s="109"/>
      <c r="M45" s="109"/>
      <c r="N45" s="109"/>
      <c r="O45" s="109"/>
      <c r="P45" s="109"/>
      <c r="Q45" s="17">
        <f t="shared" si="2"/>
        <v>16</v>
      </c>
      <c r="R45" s="235"/>
      <c r="S45" s="236"/>
    </row>
    <row r="46" spans="1:19" ht="15" thickBot="1">
      <c r="A46" s="1" t="s">
        <v>100</v>
      </c>
      <c r="B46" s="103" t="s">
        <v>99</v>
      </c>
      <c r="C46" s="63"/>
      <c r="D46" s="63"/>
      <c r="E46" s="119">
        <v>7</v>
      </c>
      <c r="F46" s="119">
        <v>3</v>
      </c>
      <c r="G46" s="120"/>
      <c r="H46" s="101"/>
      <c r="I46" s="101"/>
      <c r="J46" s="101"/>
      <c r="K46" s="101"/>
      <c r="L46" s="109"/>
      <c r="M46" s="109"/>
      <c r="N46" s="109"/>
      <c r="O46" s="109"/>
      <c r="P46" s="109"/>
      <c r="Q46" s="17">
        <f t="shared" si="2"/>
        <v>10</v>
      </c>
      <c r="R46" s="235"/>
      <c r="S46" s="236"/>
    </row>
    <row r="47" spans="1:19" s="65" customFormat="1" ht="15" thickBot="1">
      <c r="A47" s="196" t="s">
        <v>202</v>
      </c>
      <c r="B47" s="197"/>
      <c r="C47" s="45">
        <f>+D47/Metas!I37</f>
        <v>1.198650064005586</v>
      </c>
      <c r="D47" s="19">
        <f>+Q47/R47</f>
        <v>0.07791225416036308</v>
      </c>
      <c r="E47" s="54">
        <f>SUM(E37:E46)</f>
        <v>62</v>
      </c>
      <c r="F47" s="54">
        <f aca="true" t="shared" si="4" ref="F47:P47">SUM(F37:F46)</f>
        <v>41</v>
      </c>
      <c r="G47" s="54">
        <f t="shared" si="4"/>
        <v>0</v>
      </c>
      <c r="H47" s="14">
        <f t="shared" si="4"/>
        <v>0</v>
      </c>
      <c r="I47" s="14">
        <f t="shared" si="4"/>
        <v>0</v>
      </c>
      <c r="J47" s="14">
        <f t="shared" si="4"/>
        <v>0</v>
      </c>
      <c r="K47" s="14">
        <f t="shared" si="4"/>
        <v>0</v>
      </c>
      <c r="L47" s="14">
        <f t="shared" si="4"/>
        <v>0</v>
      </c>
      <c r="M47" s="14">
        <f t="shared" si="4"/>
        <v>0</v>
      </c>
      <c r="N47" s="14">
        <f t="shared" si="4"/>
        <v>0</v>
      </c>
      <c r="O47" s="14">
        <f t="shared" si="4"/>
        <v>0</v>
      </c>
      <c r="P47" s="14">
        <f t="shared" si="4"/>
        <v>0</v>
      </c>
      <c r="Q47" s="14">
        <f>SUM(Q37:Q46)</f>
        <v>103</v>
      </c>
      <c r="R47" s="239">
        <v>1322</v>
      </c>
      <c r="S47" s="240"/>
    </row>
    <row r="48" spans="1:19" ht="15" thickBot="1">
      <c r="A48" s="1" t="s">
        <v>114</v>
      </c>
      <c r="B48" s="103" t="s">
        <v>101</v>
      </c>
      <c r="C48" s="63"/>
      <c r="D48" s="63"/>
      <c r="E48" s="119">
        <v>25</v>
      </c>
      <c r="F48" s="119">
        <v>0</v>
      </c>
      <c r="G48" s="120"/>
      <c r="H48" s="101"/>
      <c r="I48" s="101"/>
      <c r="J48" s="101"/>
      <c r="K48" s="101"/>
      <c r="L48" s="109"/>
      <c r="M48" s="109"/>
      <c r="N48" s="109"/>
      <c r="O48" s="109"/>
      <c r="P48" s="110"/>
      <c r="Q48" s="17">
        <f t="shared" si="2"/>
        <v>25</v>
      </c>
      <c r="R48" s="235"/>
      <c r="S48" s="236"/>
    </row>
    <row r="49" spans="1:19" ht="15" thickBot="1">
      <c r="A49" s="1" t="s">
        <v>114</v>
      </c>
      <c r="B49" s="103" t="s">
        <v>102</v>
      </c>
      <c r="C49" s="63"/>
      <c r="D49" s="63"/>
      <c r="E49" s="119"/>
      <c r="F49" s="119"/>
      <c r="G49" s="120"/>
      <c r="H49" s="101"/>
      <c r="I49" s="101"/>
      <c r="J49" s="101"/>
      <c r="K49" s="101"/>
      <c r="L49" s="109"/>
      <c r="M49" s="109"/>
      <c r="N49" s="109"/>
      <c r="O49" s="109"/>
      <c r="P49" s="110"/>
      <c r="Q49" s="17">
        <f t="shared" si="2"/>
        <v>0</v>
      </c>
      <c r="R49" s="235"/>
      <c r="S49" s="236"/>
    </row>
    <row r="50" spans="1:19" ht="15" thickBot="1">
      <c r="A50" s="1" t="s">
        <v>114</v>
      </c>
      <c r="B50" s="103" t="s">
        <v>103</v>
      </c>
      <c r="C50" s="63"/>
      <c r="D50" s="63"/>
      <c r="E50" s="119">
        <v>1</v>
      </c>
      <c r="F50" s="119">
        <v>5</v>
      </c>
      <c r="G50" s="120"/>
      <c r="H50" s="101"/>
      <c r="I50" s="101"/>
      <c r="J50" s="101"/>
      <c r="K50" s="101"/>
      <c r="L50" s="109"/>
      <c r="M50" s="109"/>
      <c r="N50" s="109"/>
      <c r="O50" s="109"/>
      <c r="P50" s="110"/>
      <c r="Q50" s="17">
        <f t="shared" si="2"/>
        <v>6</v>
      </c>
      <c r="R50" s="235"/>
      <c r="S50" s="236"/>
    </row>
    <row r="51" spans="1:19" ht="15" thickBot="1">
      <c r="A51" s="1" t="s">
        <v>114</v>
      </c>
      <c r="B51" s="103" t="s">
        <v>104</v>
      </c>
      <c r="C51" s="63"/>
      <c r="D51" s="63"/>
      <c r="E51" s="119">
        <v>2</v>
      </c>
      <c r="F51" s="119">
        <v>3</v>
      </c>
      <c r="G51" s="120"/>
      <c r="H51" s="101"/>
      <c r="I51" s="101"/>
      <c r="J51" s="101"/>
      <c r="K51" s="101"/>
      <c r="L51" s="109"/>
      <c r="M51" s="109"/>
      <c r="N51" s="109"/>
      <c r="O51" s="109"/>
      <c r="P51" s="110"/>
      <c r="Q51" s="17">
        <f t="shared" si="2"/>
        <v>5</v>
      </c>
      <c r="R51" s="235"/>
      <c r="S51" s="236"/>
    </row>
    <row r="52" spans="1:19" ht="15" thickBot="1">
      <c r="A52" s="1" t="s">
        <v>114</v>
      </c>
      <c r="B52" s="103" t="s">
        <v>105</v>
      </c>
      <c r="C52" s="63"/>
      <c r="D52" s="63"/>
      <c r="E52" s="119"/>
      <c r="F52" s="119"/>
      <c r="G52" s="120"/>
      <c r="H52" s="101"/>
      <c r="I52" s="101"/>
      <c r="J52" s="101"/>
      <c r="K52" s="101"/>
      <c r="L52" s="109"/>
      <c r="M52" s="109"/>
      <c r="N52" s="109"/>
      <c r="O52" s="109"/>
      <c r="P52" s="110"/>
      <c r="Q52" s="17">
        <f t="shared" si="2"/>
        <v>0</v>
      </c>
      <c r="R52" s="235"/>
      <c r="S52" s="236"/>
    </row>
    <row r="53" spans="1:19" ht="15" thickBot="1">
      <c r="A53" s="1" t="s">
        <v>114</v>
      </c>
      <c r="B53" s="103" t="s">
        <v>106</v>
      </c>
      <c r="C53" s="63"/>
      <c r="D53" s="63"/>
      <c r="E53" s="119">
        <v>2</v>
      </c>
      <c r="F53" s="119"/>
      <c r="G53" s="120"/>
      <c r="H53" s="101"/>
      <c r="I53" s="101"/>
      <c r="J53" s="101"/>
      <c r="K53" s="101"/>
      <c r="L53" s="109"/>
      <c r="M53" s="109"/>
      <c r="N53" s="109"/>
      <c r="O53" s="109"/>
      <c r="P53" s="110"/>
      <c r="Q53" s="17">
        <f t="shared" si="2"/>
        <v>2</v>
      </c>
      <c r="R53" s="235"/>
      <c r="S53" s="236"/>
    </row>
    <row r="54" spans="1:19" ht="15" thickBot="1">
      <c r="A54" s="1" t="s">
        <v>114</v>
      </c>
      <c r="B54" s="103" t="s">
        <v>107</v>
      </c>
      <c r="C54" s="63"/>
      <c r="D54" s="63"/>
      <c r="E54" s="119"/>
      <c r="F54" s="119">
        <v>0</v>
      </c>
      <c r="G54" s="120"/>
      <c r="H54" s="101"/>
      <c r="I54" s="101"/>
      <c r="J54" s="101"/>
      <c r="K54" s="101"/>
      <c r="L54" s="109"/>
      <c r="M54" s="109"/>
      <c r="N54" s="109"/>
      <c r="O54" s="109"/>
      <c r="P54" s="110"/>
      <c r="Q54" s="17">
        <f t="shared" si="2"/>
        <v>0</v>
      </c>
      <c r="R54" s="235"/>
      <c r="S54" s="236"/>
    </row>
    <row r="55" spans="1:19" ht="15" thickBot="1">
      <c r="A55" s="1" t="s">
        <v>114</v>
      </c>
      <c r="B55" s="103" t="s">
        <v>108</v>
      </c>
      <c r="C55" s="63"/>
      <c r="D55" s="63"/>
      <c r="E55" s="119"/>
      <c r="F55" s="119">
        <v>2</v>
      </c>
      <c r="G55" s="120"/>
      <c r="H55" s="101"/>
      <c r="I55" s="101"/>
      <c r="J55" s="101"/>
      <c r="K55" s="101"/>
      <c r="L55" s="109"/>
      <c r="M55" s="109"/>
      <c r="N55" s="109"/>
      <c r="O55" s="109"/>
      <c r="P55" s="110"/>
      <c r="Q55" s="17">
        <f t="shared" si="2"/>
        <v>2</v>
      </c>
      <c r="R55" s="235"/>
      <c r="S55" s="236"/>
    </row>
    <row r="56" spans="1:19" ht="15" thickBot="1">
      <c r="A56" s="1" t="s">
        <v>114</v>
      </c>
      <c r="B56" s="103" t="s">
        <v>109</v>
      </c>
      <c r="C56" s="63"/>
      <c r="D56" s="63"/>
      <c r="E56" s="119">
        <v>6</v>
      </c>
      <c r="F56" s="119">
        <v>3</v>
      </c>
      <c r="G56" s="120"/>
      <c r="H56" s="101"/>
      <c r="I56" s="101"/>
      <c r="J56" s="101"/>
      <c r="K56" s="101"/>
      <c r="L56" s="109"/>
      <c r="M56" s="109"/>
      <c r="N56" s="109"/>
      <c r="O56" s="109"/>
      <c r="P56" s="110"/>
      <c r="Q56" s="17">
        <f t="shared" si="2"/>
        <v>9</v>
      </c>
      <c r="R56" s="235"/>
      <c r="S56" s="236"/>
    </row>
    <row r="57" spans="1:19" ht="15" thickBot="1">
      <c r="A57" s="1" t="s">
        <v>114</v>
      </c>
      <c r="B57" s="103" t="s">
        <v>110</v>
      </c>
      <c r="C57" s="63"/>
      <c r="D57" s="63"/>
      <c r="E57" s="119">
        <v>0</v>
      </c>
      <c r="F57" s="119">
        <v>3</v>
      </c>
      <c r="G57" s="120"/>
      <c r="H57" s="101"/>
      <c r="I57" s="101"/>
      <c r="J57" s="101"/>
      <c r="K57" s="101"/>
      <c r="L57" s="109"/>
      <c r="M57" s="109"/>
      <c r="N57" s="109"/>
      <c r="O57" s="109"/>
      <c r="P57" s="110"/>
      <c r="Q57" s="17">
        <f t="shared" si="2"/>
        <v>3</v>
      </c>
      <c r="R57" s="235"/>
      <c r="S57" s="236"/>
    </row>
    <row r="58" spans="1:19" ht="15" thickBot="1">
      <c r="A58" s="1" t="s">
        <v>114</v>
      </c>
      <c r="B58" s="103" t="s">
        <v>111</v>
      </c>
      <c r="C58" s="63"/>
      <c r="D58" s="63"/>
      <c r="E58" s="119">
        <v>14</v>
      </c>
      <c r="F58" s="119">
        <v>5</v>
      </c>
      <c r="G58" s="120"/>
      <c r="H58" s="101"/>
      <c r="I58" s="101"/>
      <c r="J58" s="101"/>
      <c r="K58" s="101"/>
      <c r="L58" s="109"/>
      <c r="M58" s="109"/>
      <c r="N58" s="109"/>
      <c r="O58" s="109"/>
      <c r="P58" s="110"/>
      <c r="Q58" s="17">
        <f t="shared" si="2"/>
        <v>19</v>
      </c>
      <c r="R58" s="235"/>
      <c r="S58" s="236"/>
    </row>
    <row r="59" spans="1:19" ht="15" thickBot="1">
      <c r="A59" s="1" t="s">
        <v>114</v>
      </c>
      <c r="B59" s="103" t="s">
        <v>112</v>
      </c>
      <c r="C59" s="63"/>
      <c r="D59" s="63"/>
      <c r="E59" s="119">
        <v>1</v>
      </c>
      <c r="F59" s="119"/>
      <c r="G59" s="120"/>
      <c r="H59" s="101"/>
      <c r="I59" s="101"/>
      <c r="J59" s="101"/>
      <c r="K59" s="101"/>
      <c r="L59" s="109"/>
      <c r="M59" s="109"/>
      <c r="N59" s="109"/>
      <c r="O59" s="109"/>
      <c r="P59" s="110"/>
      <c r="Q59" s="17">
        <f t="shared" si="2"/>
        <v>1</v>
      </c>
      <c r="R59" s="235"/>
      <c r="S59" s="236"/>
    </row>
    <row r="60" spans="1:19" ht="15" thickBot="1">
      <c r="A60" s="1" t="s">
        <v>114</v>
      </c>
      <c r="B60" s="103" t="s">
        <v>113</v>
      </c>
      <c r="C60" s="63"/>
      <c r="D60" s="63"/>
      <c r="E60" s="119">
        <v>0</v>
      </c>
      <c r="F60" s="119">
        <v>0</v>
      </c>
      <c r="G60" s="120"/>
      <c r="H60" s="101"/>
      <c r="I60" s="101"/>
      <c r="J60" s="101"/>
      <c r="K60" s="101"/>
      <c r="L60" s="109"/>
      <c r="M60" s="109"/>
      <c r="N60" s="109"/>
      <c r="O60" s="109"/>
      <c r="P60" s="110"/>
      <c r="Q60" s="17">
        <f>SUM(E60:P60)</f>
        <v>0</v>
      </c>
      <c r="R60" s="235"/>
      <c r="S60" s="236"/>
    </row>
    <row r="61" spans="1:19" s="65" customFormat="1" ht="15" thickBot="1">
      <c r="A61" s="196" t="s">
        <v>203</v>
      </c>
      <c r="B61" s="197"/>
      <c r="C61" s="45">
        <f>+D61/Metas!I29</f>
        <v>0.9618595952174201</v>
      </c>
      <c r="D61" s="19">
        <f>+Q61/R61</f>
        <v>0.05290227773695812</v>
      </c>
      <c r="E61" s="54">
        <f>SUM(E48:E60)</f>
        <v>51</v>
      </c>
      <c r="F61" s="54">
        <f aca="true" t="shared" si="5" ref="F61:P61">SUM(F48:F60)</f>
        <v>21</v>
      </c>
      <c r="G61" s="54">
        <f t="shared" si="5"/>
        <v>0</v>
      </c>
      <c r="H61" s="14">
        <f t="shared" si="5"/>
        <v>0</v>
      </c>
      <c r="I61" s="14">
        <f t="shared" si="5"/>
        <v>0</v>
      </c>
      <c r="J61" s="14">
        <f t="shared" si="5"/>
        <v>0</v>
      </c>
      <c r="K61" s="14">
        <f t="shared" si="5"/>
        <v>0</v>
      </c>
      <c r="L61" s="14">
        <f t="shared" si="5"/>
        <v>0</v>
      </c>
      <c r="M61" s="14">
        <f t="shared" si="5"/>
        <v>0</v>
      </c>
      <c r="N61" s="14">
        <f t="shared" si="5"/>
        <v>0</v>
      </c>
      <c r="O61" s="14">
        <f t="shared" si="5"/>
        <v>0</v>
      </c>
      <c r="P61" s="14">
        <f t="shared" si="5"/>
        <v>0</v>
      </c>
      <c r="Q61" s="14">
        <f>SUM(Q48:Q60)</f>
        <v>72</v>
      </c>
      <c r="R61" s="239">
        <v>1361</v>
      </c>
      <c r="S61" s="240"/>
    </row>
    <row r="62" spans="1:19" ht="15" thickBot="1">
      <c r="A62" s="1" t="s">
        <v>125</v>
      </c>
      <c r="B62" s="103" t="s">
        <v>115</v>
      </c>
      <c r="C62" s="63"/>
      <c r="D62" s="63"/>
      <c r="E62" s="119">
        <v>8</v>
      </c>
      <c r="F62" s="119">
        <v>10</v>
      </c>
      <c r="G62" s="120"/>
      <c r="H62" s="101"/>
      <c r="I62" s="101"/>
      <c r="J62" s="101"/>
      <c r="K62" s="101"/>
      <c r="L62" s="109"/>
      <c r="M62" s="109"/>
      <c r="N62" s="109"/>
      <c r="O62" s="109"/>
      <c r="P62" s="110"/>
      <c r="Q62" s="17">
        <f aca="true" t="shared" si="6" ref="Q62:Q71">SUM(E62:P62)</f>
        <v>18</v>
      </c>
      <c r="R62" s="235"/>
      <c r="S62" s="236"/>
    </row>
    <row r="63" spans="1:19" ht="15" thickBot="1">
      <c r="A63" s="1" t="s">
        <v>125</v>
      </c>
      <c r="B63" s="103" t="s">
        <v>116</v>
      </c>
      <c r="C63" s="63"/>
      <c r="D63" s="63"/>
      <c r="E63" s="119">
        <v>4</v>
      </c>
      <c r="F63" s="119">
        <v>4</v>
      </c>
      <c r="G63" s="120"/>
      <c r="H63" s="101"/>
      <c r="I63" s="101"/>
      <c r="J63" s="101"/>
      <c r="K63" s="101"/>
      <c r="L63" s="109"/>
      <c r="M63" s="109"/>
      <c r="N63" s="109"/>
      <c r="O63" s="109"/>
      <c r="P63" s="110"/>
      <c r="Q63" s="17">
        <f t="shared" si="6"/>
        <v>8</v>
      </c>
      <c r="R63" s="235"/>
      <c r="S63" s="236"/>
    </row>
    <row r="64" spans="1:19" ht="15" thickBot="1">
      <c r="A64" s="1" t="s">
        <v>125</v>
      </c>
      <c r="B64" s="103" t="s">
        <v>117</v>
      </c>
      <c r="C64" s="63"/>
      <c r="D64" s="63"/>
      <c r="E64" s="119">
        <v>6</v>
      </c>
      <c r="F64" s="119">
        <v>3</v>
      </c>
      <c r="G64" s="120"/>
      <c r="H64" s="101"/>
      <c r="I64" s="101"/>
      <c r="J64" s="101"/>
      <c r="K64" s="101"/>
      <c r="L64" s="109"/>
      <c r="M64" s="109"/>
      <c r="N64" s="109"/>
      <c r="O64" s="109"/>
      <c r="P64" s="110"/>
      <c r="Q64" s="17">
        <f t="shared" si="6"/>
        <v>9</v>
      </c>
      <c r="R64" s="235"/>
      <c r="S64" s="236"/>
    </row>
    <row r="65" spans="1:19" ht="15" thickBot="1">
      <c r="A65" s="1" t="s">
        <v>125</v>
      </c>
      <c r="B65" s="103" t="s">
        <v>118</v>
      </c>
      <c r="C65" s="63"/>
      <c r="D65" s="63"/>
      <c r="E65" s="119">
        <v>1</v>
      </c>
      <c r="F65" s="119">
        <v>4</v>
      </c>
      <c r="G65" s="120"/>
      <c r="H65" s="101"/>
      <c r="I65" s="101"/>
      <c r="J65" s="101"/>
      <c r="K65" s="101"/>
      <c r="L65" s="109"/>
      <c r="M65" s="109"/>
      <c r="N65" s="109"/>
      <c r="O65" s="109"/>
      <c r="P65" s="110"/>
      <c r="Q65" s="17">
        <f t="shared" si="6"/>
        <v>5</v>
      </c>
      <c r="R65" s="235"/>
      <c r="S65" s="236"/>
    </row>
    <row r="66" spans="1:19" ht="15" thickBot="1">
      <c r="A66" s="1" t="s">
        <v>125</v>
      </c>
      <c r="B66" s="103" t="s">
        <v>119</v>
      </c>
      <c r="C66" s="63"/>
      <c r="D66" s="63"/>
      <c r="E66" s="119">
        <v>3</v>
      </c>
      <c r="F66" s="119">
        <v>2</v>
      </c>
      <c r="G66" s="120"/>
      <c r="H66" s="101"/>
      <c r="I66" s="101"/>
      <c r="J66" s="101"/>
      <c r="K66" s="101"/>
      <c r="L66" s="109"/>
      <c r="M66" s="109"/>
      <c r="N66" s="109"/>
      <c r="O66" s="109"/>
      <c r="P66" s="110"/>
      <c r="Q66" s="17">
        <f t="shared" si="6"/>
        <v>5</v>
      </c>
      <c r="R66" s="235"/>
      <c r="S66" s="236"/>
    </row>
    <row r="67" spans="1:19" ht="15" thickBot="1">
      <c r="A67" s="1" t="s">
        <v>125</v>
      </c>
      <c r="B67" s="103" t="s">
        <v>120</v>
      </c>
      <c r="C67" s="63"/>
      <c r="D67" s="63"/>
      <c r="E67" s="119">
        <v>0</v>
      </c>
      <c r="F67" s="119">
        <v>1</v>
      </c>
      <c r="G67" s="120"/>
      <c r="H67" s="101"/>
      <c r="I67" s="101"/>
      <c r="J67" s="101"/>
      <c r="K67" s="101"/>
      <c r="L67" s="109"/>
      <c r="M67" s="109"/>
      <c r="N67" s="109"/>
      <c r="O67" s="109"/>
      <c r="P67" s="110"/>
      <c r="Q67" s="17">
        <f t="shared" si="6"/>
        <v>1</v>
      </c>
      <c r="R67" s="235"/>
      <c r="S67" s="236"/>
    </row>
    <row r="68" spans="1:19" ht="15" thickBot="1">
      <c r="A68" s="1" t="s">
        <v>125</v>
      </c>
      <c r="B68" s="103" t="s">
        <v>121</v>
      </c>
      <c r="C68" s="63"/>
      <c r="D68" s="63"/>
      <c r="E68" s="119">
        <v>0</v>
      </c>
      <c r="F68" s="119">
        <v>2</v>
      </c>
      <c r="G68" s="120"/>
      <c r="H68" s="101"/>
      <c r="I68" s="101"/>
      <c r="J68" s="101"/>
      <c r="K68" s="101"/>
      <c r="L68" s="109"/>
      <c r="M68" s="109"/>
      <c r="N68" s="109"/>
      <c r="O68" s="109"/>
      <c r="P68" s="110"/>
      <c r="Q68" s="17">
        <f t="shared" si="6"/>
        <v>2</v>
      </c>
      <c r="R68" s="235"/>
      <c r="S68" s="236"/>
    </row>
    <row r="69" spans="1:19" ht="15" thickBot="1">
      <c r="A69" s="1" t="s">
        <v>125</v>
      </c>
      <c r="B69" s="103" t="s">
        <v>122</v>
      </c>
      <c r="C69" s="63"/>
      <c r="D69" s="63"/>
      <c r="E69" s="119">
        <v>0</v>
      </c>
      <c r="F69" s="119">
        <v>5</v>
      </c>
      <c r="G69" s="120"/>
      <c r="H69" s="101"/>
      <c r="I69" s="101"/>
      <c r="J69" s="101"/>
      <c r="K69" s="101"/>
      <c r="L69" s="109"/>
      <c r="M69" s="109"/>
      <c r="N69" s="109"/>
      <c r="O69" s="109"/>
      <c r="P69" s="110"/>
      <c r="Q69" s="17">
        <f t="shared" si="6"/>
        <v>5</v>
      </c>
      <c r="R69" s="235"/>
      <c r="S69" s="236"/>
    </row>
    <row r="70" spans="1:19" ht="15" thickBot="1">
      <c r="A70" s="1" t="s">
        <v>125</v>
      </c>
      <c r="B70" s="103" t="s">
        <v>123</v>
      </c>
      <c r="C70" s="63"/>
      <c r="D70" s="63"/>
      <c r="E70" s="119">
        <v>0</v>
      </c>
      <c r="F70" s="119">
        <v>0</v>
      </c>
      <c r="G70" s="120"/>
      <c r="H70" s="101"/>
      <c r="I70" s="101"/>
      <c r="J70" s="101"/>
      <c r="K70" s="101"/>
      <c r="L70" s="109"/>
      <c r="M70" s="109"/>
      <c r="N70" s="109"/>
      <c r="O70" s="109"/>
      <c r="P70" s="110"/>
      <c r="Q70" s="17">
        <f t="shared" si="6"/>
        <v>0</v>
      </c>
      <c r="R70" s="235"/>
      <c r="S70" s="236"/>
    </row>
    <row r="71" spans="1:19" ht="15" thickBot="1">
      <c r="A71" s="1" t="s">
        <v>125</v>
      </c>
      <c r="B71" s="103" t="s">
        <v>124</v>
      </c>
      <c r="C71" s="63"/>
      <c r="D71" s="63"/>
      <c r="E71" s="119">
        <v>1</v>
      </c>
      <c r="F71" s="119">
        <v>1</v>
      </c>
      <c r="G71" s="120"/>
      <c r="H71" s="101"/>
      <c r="I71" s="101"/>
      <c r="J71" s="101"/>
      <c r="K71" s="101"/>
      <c r="L71" s="109"/>
      <c r="M71" s="109"/>
      <c r="N71" s="109"/>
      <c r="O71" s="109"/>
      <c r="P71" s="110"/>
      <c r="Q71" s="17">
        <f t="shared" si="6"/>
        <v>2</v>
      </c>
      <c r="R71" s="235"/>
      <c r="S71" s="236"/>
    </row>
    <row r="72" spans="1:19" s="65" customFormat="1" ht="15" thickBot="1">
      <c r="A72" s="196" t="s">
        <v>23</v>
      </c>
      <c r="B72" s="197"/>
      <c r="C72" s="45">
        <f>+D72/Metas!I26</f>
        <v>0.5001364008365918</v>
      </c>
      <c r="D72" s="19">
        <f>+Q72/R72</f>
        <v>0.03500954805856143</v>
      </c>
      <c r="E72" s="54">
        <f>SUM(E62:E71)</f>
        <v>23</v>
      </c>
      <c r="F72" s="54">
        <f aca="true" t="shared" si="7" ref="F72:P72">SUM(F62:F71)</f>
        <v>32</v>
      </c>
      <c r="G72" s="54">
        <f t="shared" si="7"/>
        <v>0</v>
      </c>
      <c r="H72" s="14">
        <f t="shared" si="7"/>
        <v>0</v>
      </c>
      <c r="I72" s="14">
        <f t="shared" si="7"/>
        <v>0</v>
      </c>
      <c r="J72" s="14">
        <f t="shared" si="7"/>
        <v>0</v>
      </c>
      <c r="K72" s="14">
        <f t="shared" si="7"/>
        <v>0</v>
      </c>
      <c r="L72" s="14">
        <f t="shared" si="7"/>
        <v>0</v>
      </c>
      <c r="M72" s="14">
        <f t="shared" si="7"/>
        <v>0</v>
      </c>
      <c r="N72" s="14">
        <f t="shared" si="7"/>
        <v>0</v>
      </c>
      <c r="O72" s="14">
        <f t="shared" si="7"/>
        <v>0</v>
      </c>
      <c r="P72" s="14">
        <f t="shared" si="7"/>
        <v>0</v>
      </c>
      <c r="Q72" s="14">
        <f>SUM(Q62:Q71)</f>
        <v>55</v>
      </c>
      <c r="R72" s="239">
        <v>1571</v>
      </c>
      <c r="S72" s="240"/>
    </row>
    <row r="73" spans="1:19" ht="15" thickBot="1">
      <c r="A73" s="1" t="s">
        <v>131</v>
      </c>
      <c r="B73" s="103" t="s">
        <v>126</v>
      </c>
      <c r="C73" s="63"/>
      <c r="D73" s="63"/>
      <c r="E73" s="119">
        <v>15</v>
      </c>
      <c r="F73" s="119">
        <v>8</v>
      </c>
      <c r="G73" s="120"/>
      <c r="H73" s="101"/>
      <c r="I73" s="101"/>
      <c r="J73" s="101"/>
      <c r="K73" s="101"/>
      <c r="L73" s="109"/>
      <c r="M73" s="109"/>
      <c r="N73" s="109"/>
      <c r="O73" s="109"/>
      <c r="P73" s="110"/>
      <c r="Q73" s="17">
        <f>SUM(E73:P73)</f>
        <v>23</v>
      </c>
      <c r="R73" s="235"/>
      <c r="S73" s="236"/>
    </row>
    <row r="74" spans="1:19" ht="15" thickBot="1">
      <c r="A74" s="1" t="s">
        <v>131</v>
      </c>
      <c r="B74" s="103" t="s">
        <v>127</v>
      </c>
      <c r="C74" s="63"/>
      <c r="D74" s="63"/>
      <c r="E74" s="119">
        <v>26</v>
      </c>
      <c r="F74" s="119">
        <v>4</v>
      </c>
      <c r="G74" s="120"/>
      <c r="H74" s="101"/>
      <c r="I74" s="101"/>
      <c r="J74" s="101"/>
      <c r="K74" s="101"/>
      <c r="L74" s="109"/>
      <c r="M74" s="109"/>
      <c r="N74" s="109"/>
      <c r="O74" s="109"/>
      <c r="P74" s="110"/>
      <c r="Q74" s="17">
        <f>SUM(E74:P74)</f>
        <v>30</v>
      </c>
      <c r="R74" s="235"/>
      <c r="S74" s="236"/>
    </row>
    <row r="75" spans="1:19" ht="15" thickBot="1">
      <c r="A75" s="1" t="s">
        <v>131</v>
      </c>
      <c r="B75" s="103" t="s">
        <v>128</v>
      </c>
      <c r="C75" s="63"/>
      <c r="D75" s="63"/>
      <c r="E75" s="119">
        <v>16</v>
      </c>
      <c r="F75" s="119">
        <v>3</v>
      </c>
      <c r="G75" s="120"/>
      <c r="H75" s="101"/>
      <c r="I75" s="101"/>
      <c r="J75" s="101"/>
      <c r="K75" s="101"/>
      <c r="L75" s="109"/>
      <c r="M75" s="109"/>
      <c r="N75" s="109"/>
      <c r="O75" s="109"/>
      <c r="P75" s="110"/>
      <c r="Q75" s="17">
        <f>SUM(E75:P75)</f>
        <v>19</v>
      </c>
      <c r="R75" s="235"/>
      <c r="S75" s="236"/>
    </row>
    <row r="76" spans="1:19" ht="15" thickBot="1">
      <c r="A76" s="1" t="s">
        <v>131</v>
      </c>
      <c r="B76" s="103" t="s">
        <v>129</v>
      </c>
      <c r="C76" s="63"/>
      <c r="D76" s="63"/>
      <c r="E76" s="119"/>
      <c r="F76" s="119">
        <v>2</v>
      </c>
      <c r="G76" s="120"/>
      <c r="H76" s="101"/>
      <c r="I76" s="101"/>
      <c r="J76" s="101"/>
      <c r="K76" s="101"/>
      <c r="L76" s="109"/>
      <c r="M76" s="109"/>
      <c r="N76" s="109"/>
      <c r="O76" s="109"/>
      <c r="P76" s="110"/>
      <c r="Q76" s="17">
        <f>SUM(E76:P76)</f>
        <v>2</v>
      </c>
      <c r="R76" s="235"/>
      <c r="S76" s="236"/>
    </row>
    <row r="77" spans="1:19" ht="15" thickBot="1">
      <c r="A77" s="1" t="s">
        <v>131</v>
      </c>
      <c r="B77" s="103" t="s">
        <v>130</v>
      </c>
      <c r="C77" s="63"/>
      <c r="D77" s="63"/>
      <c r="E77" s="119">
        <v>6</v>
      </c>
      <c r="F77" s="119">
        <v>22</v>
      </c>
      <c r="G77" s="120"/>
      <c r="H77" s="101"/>
      <c r="I77" s="101"/>
      <c r="J77" s="101"/>
      <c r="K77" s="101"/>
      <c r="L77" s="109"/>
      <c r="M77" s="109"/>
      <c r="N77" s="109"/>
      <c r="O77" s="109"/>
      <c r="P77" s="110"/>
      <c r="Q77" s="17">
        <f>SUM(E77:P77)</f>
        <v>28</v>
      </c>
      <c r="R77" s="235"/>
      <c r="S77" s="236"/>
    </row>
    <row r="78" spans="1:19" s="65" customFormat="1" ht="15" thickBot="1">
      <c r="A78" s="196" t="s">
        <v>204</v>
      </c>
      <c r="B78" s="197"/>
      <c r="C78" s="45">
        <f>+D78/Metas!I31</f>
        <v>1.9941348973607038</v>
      </c>
      <c r="D78" s="19">
        <f>+Q78/R78</f>
        <v>0.12363636363636364</v>
      </c>
      <c r="E78" s="54">
        <f>SUM(E73:E77)</f>
        <v>63</v>
      </c>
      <c r="F78" s="54">
        <f aca="true" t="shared" si="8" ref="F78:P78">SUM(F73:F77)</f>
        <v>39</v>
      </c>
      <c r="G78" s="54">
        <f t="shared" si="8"/>
        <v>0</v>
      </c>
      <c r="H78" s="14">
        <f t="shared" si="8"/>
        <v>0</v>
      </c>
      <c r="I78" s="14">
        <f t="shared" si="8"/>
        <v>0</v>
      </c>
      <c r="J78" s="14">
        <f t="shared" si="8"/>
        <v>0</v>
      </c>
      <c r="K78" s="14">
        <f t="shared" si="8"/>
        <v>0</v>
      </c>
      <c r="L78" s="14">
        <f t="shared" si="8"/>
        <v>0</v>
      </c>
      <c r="M78" s="14">
        <f t="shared" si="8"/>
        <v>0</v>
      </c>
      <c r="N78" s="14">
        <f t="shared" si="8"/>
        <v>0</v>
      </c>
      <c r="O78" s="14">
        <f t="shared" si="8"/>
        <v>0</v>
      </c>
      <c r="P78" s="14">
        <f t="shared" si="8"/>
        <v>0</v>
      </c>
      <c r="Q78" s="14">
        <f>SUM(Q73:Q77)</f>
        <v>102</v>
      </c>
      <c r="R78" s="239">
        <v>825</v>
      </c>
      <c r="S78" s="240"/>
    </row>
    <row r="79" spans="1:19" ht="15" thickBot="1">
      <c r="A79" s="1" t="s">
        <v>142</v>
      </c>
      <c r="B79" s="103" t="s">
        <v>132</v>
      </c>
      <c r="C79" s="63"/>
      <c r="D79" s="63"/>
      <c r="E79" s="119">
        <v>16</v>
      </c>
      <c r="F79" s="119">
        <v>38</v>
      </c>
      <c r="G79" s="120"/>
      <c r="H79" s="101"/>
      <c r="I79" s="101"/>
      <c r="J79" s="101"/>
      <c r="K79" s="101"/>
      <c r="L79" s="109"/>
      <c r="M79" s="109"/>
      <c r="N79" s="109"/>
      <c r="O79" s="109"/>
      <c r="P79" s="110"/>
      <c r="Q79" s="17">
        <f aca="true" t="shared" si="9" ref="Q79:Q88">SUM(E79:P79)</f>
        <v>54</v>
      </c>
      <c r="R79" s="235"/>
      <c r="S79" s="236"/>
    </row>
    <row r="80" spans="1:19" ht="15" thickBot="1">
      <c r="A80" s="1" t="s">
        <v>142</v>
      </c>
      <c r="B80" s="103" t="s">
        <v>133</v>
      </c>
      <c r="C80" s="63"/>
      <c r="D80" s="63"/>
      <c r="E80" s="119">
        <v>1</v>
      </c>
      <c r="F80" s="119">
        <v>1</v>
      </c>
      <c r="G80" s="120"/>
      <c r="H80" s="101"/>
      <c r="I80" s="101"/>
      <c r="J80" s="101"/>
      <c r="K80" s="101"/>
      <c r="L80" s="109"/>
      <c r="M80" s="109"/>
      <c r="N80" s="109"/>
      <c r="O80" s="109"/>
      <c r="P80" s="110"/>
      <c r="Q80" s="17">
        <f t="shared" si="9"/>
        <v>2</v>
      </c>
      <c r="R80" s="235"/>
      <c r="S80" s="236"/>
    </row>
    <row r="81" spans="1:19" ht="15" thickBot="1">
      <c r="A81" s="1" t="s">
        <v>142</v>
      </c>
      <c r="B81" s="103" t="s">
        <v>134</v>
      </c>
      <c r="C81" s="63"/>
      <c r="D81" s="63"/>
      <c r="E81" s="119">
        <v>11</v>
      </c>
      <c r="F81" s="119">
        <v>4</v>
      </c>
      <c r="G81" s="120"/>
      <c r="H81" s="101"/>
      <c r="I81" s="101"/>
      <c r="J81" s="101"/>
      <c r="K81" s="101"/>
      <c r="L81" s="109"/>
      <c r="M81" s="109"/>
      <c r="N81" s="109"/>
      <c r="O81" s="109"/>
      <c r="P81" s="110"/>
      <c r="Q81" s="17">
        <f t="shared" si="9"/>
        <v>15</v>
      </c>
      <c r="R81" s="235"/>
      <c r="S81" s="236"/>
    </row>
    <row r="82" spans="1:19" ht="15" thickBot="1">
      <c r="A82" s="1" t="s">
        <v>142</v>
      </c>
      <c r="B82" s="103" t="s">
        <v>135</v>
      </c>
      <c r="C82" s="63"/>
      <c r="D82" s="63"/>
      <c r="E82" s="119">
        <v>7</v>
      </c>
      <c r="F82" s="119">
        <v>1</v>
      </c>
      <c r="G82" s="120"/>
      <c r="H82" s="101"/>
      <c r="I82" s="101"/>
      <c r="J82" s="101"/>
      <c r="K82" s="101"/>
      <c r="L82" s="109"/>
      <c r="M82" s="109"/>
      <c r="N82" s="109"/>
      <c r="O82" s="109"/>
      <c r="P82" s="110"/>
      <c r="Q82" s="17">
        <f t="shared" si="9"/>
        <v>8</v>
      </c>
      <c r="R82" s="235"/>
      <c r="S82" s="236"/>
    </row>
    <row r="83" spans="1:19" ht="15" thickBot="1">
      <c r="A83" s="1" t="s">
        <v>142</v>
      </c>
      <c r="B83" s="103" t="s">
        <v>136</v>
      </c>
      <c r="C83" s="63"/>
      <c r="D83" s="63"/>
      <c r="E83" s="119">
        <v>1</v>
      </c>
      <c r="F83" s="119">
        <v>6</v>
      </c>
      <c r="G83" s="120"/>
      <c r="H83" s="101"/>
      <c r="I83" s="101"/>
      <c r="J83" s="101"/>
      <c r="K83" s="101"/>
      <c r="L83" s="109"/>
      <c r="M83" s="109"/>
      <c r="N83" s="109"/>
      <c r="O83" s="109"/>
      <c r="P83" s="110"/>
      <c r="Q83" s="17">
        <f t="shared" si="9"/>
        <v>7</v>
      </c>
      <c r="R83" s="235"/>
      <c r="S83" s="236"/>
    </row>
    <row r="84" spans="1:19" ht="15" thickBot="1">
      <c r="A84" s="1" t="s">
        <v>142</v>
      </c>
      <c r="B84" s="103" t="s">
        <v>137</v>
      </c>
      <c r="C84" s="63"/>
      <c r="D84" s="63"/>
      <c r="E84" s="119">
        <v>4</v>
      </c>
      <c r="F84" s="119"/>
      <c r="G84" s="120"/>
      <c r="H84" s="101"/>
      <c r="I84" s="101"/>
      <c r="J84" s="101"/>
      <c r="K84" s="101"/>
      <c r="L84" s="109"/>
      <c r="M84" s="109"/>
      <c r="N84" s="109"/>
      <c r="O84" s="109"/>
      <c r="P84" s="110"/>
      <c r="Q84" s="17">
        <f t="shared" si="9"/>
        <v>4</v>
      </c>
      <c r="R84" s="235"/>
      <c r="S84" s="236"/>
    </row>
    <row r="85" spans="1:19" ht="15" thickBot="1">
      <c r="A85" s="1" t="s">
        <v>142</v>
      </c>
      <c r="B85" s="103" t="s">
        <v>138</v>
      </c>
      <c r="C85" s="63"/>
      <c r="D85" s="63"/>
      <c r="E85" s="119">
        <v>8</v>
      </c>
      <c r="F85" s="119">
        <v>4</v>
      </c>
      <c r="G85" s="120"/>
      <c r="H85" s="101"/>
      <c r="I85" s="101"/>
      <c r="J85" s="101"/>
      <c r="K85" s="101"/>
      <c r="L85" s="109"/>
      <c r="M85" s="109"/>
      <c r="N85" s="109"/>
      <c r="O85" s="109"/>
      <c r="P85" s="110"/>
      <c r="Q85" s="17">
        <f t="shared" si="9"/>
        <v>12</v>
      </c>
      <c r="R85" s="235"/>
      <c r="S85" s="236"/>
    </row>
    <row r="86" spans="1:19" ht="15" thickBot="1">
      <c r="A86" s="1" t="s">
        <v>142</v>
      </c>
      <c r="B86" s="103" t="s">
        <v>139</v>
      </c>
      <c r="C86" s="63"/>
      <c r="D86" s="63"/>
      <c r="E86" s="119">
        <v>0</v>
      </c>
      <c r="F86" s="119">
        <v>3</v>
      </c>
      <c r="G86" s="120"/>
      <c r="H86" s="101"/>
      <c r="I86" s="101"/>
      <c r="J86" s="101"/>
      <c r="K86" s="101"/>
      <c r="L86" s="109"/>
      <c r="M86" s="109"/>
      <c r="N86" s="109"/>
      <c r="O86" s="109"/>
      <c r="P86" s="110"/>
      <c r="Q86" s="17">
        <f t="shared" si="9"/>
        <v>3</v>
      </c>
      <c r="R86" s="235"/>
      <c r="S86" s="236"/>
    </row>
    <row r="87" spans="1:19" ht="15" thickBot="1">
      <c r="A87" s="1" t="s">
        <v>142</v>
      </c>
      <c r="B87" s="103" t="s">
        <v>140</v>
      </c>
      <c r="C87" s="63"/>
      <c r="D87" s="63"/>
      <c r="E87" s="119">
        <v>5</v>
      </c>
      <c r="F87" s="119">
        <v>10</v>
      </c>
      <c r="G87" s="120"/>
      <c r="H87" s="101"/>
      <c r="I87" s="101"/>
      <c r="J87" s="101"/>
      <c r="K87" s="101"/>
      <c r="L87" s="109"/>
      <c r="M87" s="109"/>
      <c r="N87" s="109"/>
      <c r="O87" s="109"/>
      <c r="P87" s="110"/>
      <c r="Q87" s="17">
        <f t="shared" si="9"/>
        <v>15</v>
      </c>
      <c r="R87" s="235"/>
      <c r="S87" s="236"/>
    </row>
    <row r="88" spans="1:19" ht="15" thickBot="1">
      <c r="A88" s="1" t="s">
        <v>142</v>
      </c>
      <c r="B88" s="103" t="s">
        <v>141</v>
      </c>
      <c r="C88" s="63"/>
      <c r="D88" s="63"/>
      <c r="E88" s="119">
        <v>10</v>
      </c>
      <c r="F88" s="119">
        <v>8</v>
      </c>
      <c r="G88" s="120"/>
      <c r="H88" s="101"/>
      <c r="I88" s="101"/>
      <c r="J88" s="101"/>
      <c r="K88" s="101"/>
      <c r="L88" s="109"/>
      <c r="M88" s="109"/>
      <c r="N88" s="109"/>
      <c r="O88" s="109"/>
      <c r="P88" s="110"/>
      <c r="Q88" s="17">
        <f t="shared" si="9"/>
        <v>18</v>
      </c>
      <c r="R88" s="235"/>
      <c r="S88" s="236"/>
    </row>
    <row r="89" spans="1:19" s="65" customFormat="1" ht="15" thickBot="1">
      <c r="A89" s="196" t="s">
        <v>205</v>
      </c>
      <c r="B89" s="197"/>
      <c r="C89" s="45">
        <f>+D89/Metas!I36</f>
        <v>1.2366921174319818</v>
      </c>
      <c r="D89" s="19">
        <f>+Q89/R89</f>
        <v>0.08409506398537477</v>
      </c>
      <c r="E89" s="54">
        <f>SUM(E79:E88)</f>
        <v>63</v>
      </c>
      <c r="F89" s="54">
        <f aca="true" t="shared" si="10" ref="F89:P89">SUM(F79:F88)</f>
        <v>75</v>
      </c>
      <c r="G89" s="54">
        <f t="shared" si="10"/>
        <v>0</v>
      </c>
      <c r="H89" s="14">
        <f t="shared" si="10"/>
        <v>0</v>
      </c>
      <c r="I89" s="14">
        <f t="shared" si="10"/>
        <v>0</v>
      </c>
      <c r="J89" s="14">
        <f t="shared" si="10"/>
        <v>0</v>
      </c>
      <c r="K89" s="14">
        <f t="shared" si="10"/>
        <v>0</v>
      </c>
      <c r="L89" s="14">
        <f t="shared" si="10"/>
        <v>0</v>
      </c>
      <c r="M89" s="14">
        <f t="shared" si="10"/>
        <v>0</v>
      </c>
      <c r="N89" s="14">
        <f t="shared" si="10"/>
        <v>0</v>
      </c>
      <c r="O89" s="14">
        <f t="shared" si="10"/>
        <v>0</v>
      </c>
      <c r="P89" s="14">
        <f t="shared" si="10"/>
        <v>0</v>
      </c>
      <c r="Q89" s="14">
        <f>SUM(Q79:Q88)</f>
        <v>138</v>
      </c>
      <c r="R89" s="239">
        <v>1641</v>
      </c>
      <c r="S89" s="240"/>
    </row>
    <row r="90" spans="1:19" ht="15" thickBot="1">
      <c r="A90" s="1" t="s">
        <v>159</v>
      </c>
      <c r="B90" s="103" t="s">
        <v>143</v>
      </c>
      <c r="C90" s="63"/>
      <c r="D90" s="63"/>
      <c r="E90" s="119">
        <v>22</v>
      </c>
      <c r="F90" s="119">
        <v>14</v>
      </c>
      <c r="G90" s="120"/>
      <c r="H90" s="101"/>
      <c r="I90" s="101"/>
      <c r="J90" s="101"/>
      <c r="K90" s="101"/>
      <c r="L90" s="109"/>
      <c r="M90" s="109"/>
      <c r="N90" s="109"/>
      <c r="O90" s="109"/>
      <c r="P90" s="110"/>
      <c r="Q90" s="17">
        <f aca="true" t="shared" si="11" ref="Q90:Q105">SUM(E90:P90)</f>
        <v>36</v>
      </c>
      <c r="R90" s="235"/>
      <c r="S90" s="236"/>
    </row>
    <row r="91" spans="1:19" ht="15" thickBot="1">
      <c r="A91" s="1" t="s">
        <v>159</v>
      </c>
      <c r="B91" s="103" t="s">
        <v>144</v>
      </c>
      <c r="C91" s="63"/>
      <c r="D91" s="63"/>
      <c r="E91" s="119">
        <v>65</v>
      </c>
      <c r="F91" s="119">
        <v>148</v>
      </c>
      <c r="G91" s="120"/>
      <c r="H91" s="101"/>
      <c r="I91" s="101"/>
      <c r="J91" s="101"/>
      <c r="K91" s="101"/>
      <c r="L91" s="109"/>
      <c r="M91" s="109"/>
      <c r="N91" s="109"/>
      <c r="O91" s="109"/>
      <c r="P91" s="110"/>
      <c r="Q91" s="17">
        <f t="shared" si="11"/>
        <v>213</v>
      </c>
      <c r="R91" s="235"/>
      <c r="S91" s="236"/>
    </row>
    <row r="92" spans="1:19" ht="15" thickBot="1">
      <c r="A92" s="1" t="s">
        <v>159</v>
      </c>
      <c r="B92" s="103" t="s">
        <v>145</v>
      </c>
      <c r="C92" s="63"/>
      <c r="D92" s="63"/>
      <c r="E92" s="119">
        <v>150</v>
      </c>
      <c r="F92" s="119">
        <v>89</v>
      </c>
      <c r="G92" s="120"/>
      <c r="H92" s="101"/>
      <c r="I92" s="101"/>
      <c r="J92" s="101"/>
      <c r="K92" s="101"/>
      <c r="L92" s="109"/>
      <c r="M92" s="109"/>
      <c r="N92" s="109"/>
      <c r="O92" s="109"/>
      <c r="P92" s="110"/>
      <c r="Q92" s="17">
        <f t="shared" si="11"/>
        <v>239</v>
      </c>
      <c r="R92" s="235"/>
      <c r="S92" s="236"/>
    </row>
    <row r="93" spans="1:19" ht="15" thickBot="1">
      <c r="A93" s="1" t="s">
        <v>159</v>
      </c>
      <c r="B93" s="103" t="s">
        <v>146</v>
      </c>
      <c r="C93" s="63"/>
      <c r="D93" s="63"/>
      <c r="E93" s="119">
        <v>18</v>
      </c>
      <c r="F93" s="119">
        <v>34</v>
      </c>
      <c r="G93" s="120"/>
      <c r="H93" s="101"/>
      <c r="I93" s="101"/>
      <c r="J93" s="101"/>
      <c r="K93" s="101"/>
      <c r="L93" s="109"/>
      <c r="M93" s="109"/>
      <c r="N93" s="109"/>
      <c r="O93" s="109"/>
      <c r="P93" s="110"/>
      <c r="Q93" s="17">
        <f t="shared" si="11"/>
        <v>52</v>
      </c>
      <c r="R93" s="235"/>
      <c r="S93" s="236"/>
    </row>
    <row r="94" spans="1:19" ht="15" thickBot="1">
      <c r="A94" s="1" t="s">
        <v>159</v>
      </c>
      <c r="B94" s="103" t="s">
        <v>147</v>
      </c>
      <c r="C94" s="63"/>
      <c r="D94" s="63"/>
      <c r="E94" s="119">
        <v>15</v>
      </c>
      <c r="F94" s="119">
        <v>16</v>
      </c>
      <c r="G94" s="120"/>
      <c r="H94" s="101"/>
      <c r="I94" s="101"/>
      <c r="J94" s="101"/>
      <c r="K94" s="101"/>
      <c r="L94" s="109"/>
      <c r="M94" s="109"/>
      <c r="N94" s="109"/>
      <c r="O94" s="109"/>
      <c r="P94" s="110"/>
      <c r="Q94" s="17">
        <f t="shared" si="11"/>
        <v>31</v>
      </c>
      <c r="R94" s="235"/>
      <c r="S94" s="236"/>
    </row>
    <row r="95" spans="1:19" ht="15" thickBot="1">
      <c r="A95" s="1" t="s">
        <v>159</v>
      </c>
      <c r="B95" s="103" t="s">
        <v>148</v>
      </c>
      <c r="C95" s="63"/>
      <c r="D95" s="63"/>
      <c r="E95" s="119"/>
      <c r="F95" s="119">
        <v>7</v>
      </c>
      <c r="G95" s="120"/>
      <c r="H95" s="101"/>
      <c r="I95" s="101"/>
      <c r="J95" s="101"/>
      <c r="K95" s="101"/>
      <c r="L95" s="109"/>
      <c r="M95" s="109"/>
      <c r="N95" s="109"/>
      <c r="O95" s="109"/>
      <c r="P95" s="110"/>
      <c r="Q95" s="17">
        <f t="shared" si="11"/>
        <v>7</v>
      </c>
      <c r="R95" s="235"/>
      <c r="S95" s="236"/>
    </row>
    <row r="96" spans="1:19" ht="15" thickBot="1">
      <c r="A96" s="1" t="s">
        <v>159</v>
      </c>
      <c r="B96" s="103" t="s">
        <v>149</v>
      </c>
      <c r="C96" s="63"/>
      <c r="D96" s="63"/>
      <c r="E96" s="119"/>
      <c r="F96" s="119">
        <v>3</v>
      </c>
      <c r="G96" s="120"/>
      <c r="H96" s="101"/>
      <c r="I96" s="101"/>
      <c r="J96" s="101"/>
      <c r="K96" s="101"/>
      <c r="L96" s="109"/>
      <c r="M96" s="109"/>
      <c r="N96" s="109"/>
      <c r="O96" s="109"/>
      <c r="P96" s="110"/>
      <c r="Q96" s="17">
        <f t="shared" si="11"/>
        <v>3</v>
      </c>
      <c r="R96" s="235"/>
      <c r="S96" s="236"/>
    </row>
    <row r="97" spans="1:19" ht="15" thickBot="1">
      <c r="A97" s="1" t="s">
        <v>159</v>
      </c>
      <c r="B97" s="103" t="s">
        <v>150</v>
      </c>
      <c r="C97" s="63"/>
      <c r="D97" s="63"/>
      <c r="E97" s="119">
        <v>6</v>
      </c>
      <c r="F97" s="119">
        <v>4</v>
      </c>
      <c r="G97" s="120"/>
      <c r="H97" s="101"/>
      <c r="I97" s="101"/>
      <c r="J97" s="101"/>
      <c r="K97" s="101"/>
      <c r="L97" s="109"/>
      <c r="M97" s="109"/>
      <c r="N97" s="109"/>
      <c r="O97" s="109"/>
      <c r="P97" s="110"/>
      <c r="Q97" s="17">
        <f t="shared" si="11"/>
        <v>10</v>
      </c>
      <c r="R97" s="235"/>
      <c r="S97" s="236"/>
    </row>
    <row r="98" spans="1:19" ht="15" thickBot="1">
      <c r="A98" s="1" t="s">
        <v>159</v>
      </c>
      <c r="B98" s="103" t="s">
        <v>151</v>
      </c>
      <c r="C98" s="63"/>
      <c r="D98" s="63"/>
      <c r="E98" s="119"/>
      <c r="F98" s="119">
        <v>4</v>
      </c>
      <c r="G98" s="120"/>
      <c r="H98" s="101"/>
      <c r="I98" s="101"/>
      <c r="J98" s="101"/>
      <c r="K98" s="101"/>
      <c r="L98" s="109"/>
      <c r="M98" s="109"/>
      <c r="N98" s="109"/>
      <c r="O98" s="109"/>
      <c r="P98" s="110"/>
      <c r="Q98" s="17">
        <f t="shared" si="11"/>
        <v>4</v>
      </c>
      <c r="R98" s="235"/>
      <c r="S98" s="236"/>
    </row>
    <row r="99" spans="1:19" ht="15" thickBot="1">
      <c r="A99" s="1" t="s">
        <v>159</v>
      </c>
      <c r="B99" s="103" t="s">
        <v>152</v>
      </c>
      <c r="C99" s="63"/>
      <c r="D99" s="63"/>
      <c r="E99" s="119"/>
      <c r="F99" s="119"/>
      <c r="G99" s="120"/>
      <c r="H99" s="101"/>
      <c r="I99" s="101"/>
      <c r="J99" s="101"/>
      <c r="K99" s="101"/>
      <c r="L99" s="109"/>
      <c r="M99" s="109"/>
      <c r="N99" s="109"/>
      <c r="O99" s="109"/>
      <c r="P99" s="110"/>
      <c r="Q99" s="17">
        <f t="shared" si="11"/>
        <v>0</v>
      </c>
      <c r="R99" s="235"/>
      <c r="S99" s="236"/>
    </row>
    <row r="100" spans="1:19" ht="15" thickBot="1">
      <c r="A100" s="1" t="s">
        <v>159</v>
      </c>
      <c r="B100" s="103" t="s">
        <v>153</v>
      </c>
      <c r="C100" s="63"/>
      <c r="D100" s="63"/>
      <c r="E100" s="119"/>
      <c r="F100" s="119">
        <v>6</v>
      </c>
      <c r="G100" s="120"/>
      <c r="H100" s="101"/>
      <c r="I100" s="101"/>
      <c r="J100" s="101"/>
      <c r="K100" s="101"/>
      <c r="L100" s="109"/>
      <c r="M100" s="109"/>
      <c r="N100" s="109"/>
      <c r="O100" s="109"/>
      <c r="P100" s="110"/>
      <c r="Q100" s="17">
        <f t="shared" si="11"/>
        <v>6</v>
      </c>
      <c r="R100" s="235"/>
      <c r="S100" s="236"/>
    </row>
    <row r="101" spans="1:19" ht="15" thickBot="1">
      <c r="A101" s="1" t="s">
        <v>159</v>
      </c>
      <c r="B101" s="103" t="s">
        <v>154</v>
      </c>
      <c r="C101" s="63"/>
      <c r="D101" s="63"/>
      <c r="E101" s="119">
        <v>0</v>
      </c>
      <c r="F101" s="119">
        <v>2</v>
      </c>
      <c r="G101" s="120"/>
      <c r="H101" s="101"/>
      <c r="I101" s="101"/>
      <c r="J101" s="101"/>
      <c r="K101" s="101"/>
      <c r="L101" s="109"/>
      <c r="M101" s="109"/>
      <c r="N101" s="109"/>
      <c r="O101" s="109"/>
      <c r="P101" s="110"/>
      <c r="Q101" s="17">
        <f t="shared" si="11"/>
        <v>2</v>
      </c>
      <c r="R101" s="235"/>
      <c r="S101" s="236"/>
    </row>
    <row r="102" spans="1:19" ht="15" thickBot="1">
      <c r="A102" s="1" t="s">
        <v>159</v>
      </c>
      <c r="B102" s="103" t="s">
        <v>155</v>
      </c>
      <c r="C102" s="63"/>
      <c r="D102" s="63"/>
      <c r="E102" s="119">
        <v>5</v>
      </c>
      <c r="F102" s="119">
        <v>12</v>
      </c>
      <c r="G102" s="120"/>
      <c r="H102" s="101"/>
      <c r="I102" s="101"/>
      <c r="J102" s="101"/>
      <c r="K102" s="101"/>
      <c r="L102" s="109"/>
      <c r="M102" s="109"/>
      <c r="N102" s="109"/>
      <c r="O102" s="109"/>
      <c r="P102" s="110"/>
      <c r="Q102" s="17">
        <f t="shared" si="11"/>
        <v>17</v>
      </c>
      <c r="R102" s="235"/>
      <c r="S102" s="236"/>
    </row>
    <row r="103" spans="1:19" ht="15" thickBot="1">
      <c r="A103" s="1" t="s">
        <v>159</v>
      </c>
      <c r="B103" s="103" t="s">
        <v>156</v>
      </c>
      <c r="C103" s="63"/>
      <c r="D103" s="63"/>
      <c r="E103" s="119">
        <v>0</v>
      </c>
      <c r="F103" s="119">
        <v>6</v>
      </c>
      <c r="G103" s="120"/>
      <c r="H103" s="101"/>
      <c r="I103" s="101"/>
      <c r="J103" s="101"/>
      <c r="K103" s="101"/>
      <c r="L103" s="109"/>
      <c r="M103" s="109"/>
      <c r="N103" s="109"/>
      <c r="O103" s="109"/>
      <c r="P103" s="110"/>
      <c r="Q103" s="17">
        <f t="shared" si="11"/>
        <v>6</v>
      </c>
      <c r="R103" s="235"/>
      <c r="S103" s="236"/>
    </row>
    <row r="104" spans="1:19" ht="15" thickBot="1">
      <c r="A104" s="1" t="s">
        <v>159</v>
      </c>
      <c r="B104" s="103" t="s">
        <v>157</v>
      </c>
      <c r="C104" s="63"/>
      <c r="D104" s="63"/>
      <c r="E104" s="119">
        <v>44</v>
      </c>
      <c r="F104" s="119">
        <v>20</v>
      </c>
      <c r="G104" s="120"/>
      <c r="H104" s="101"/>
      <c r="I104" s="101"/>
      <c r="J104" s="101"/>
      <c r="K104" s="101"/>
      <c r="L104" s="109"/>
      <c r="M104" s="109"/>
      <c r="N104" s="109"/>
      <c r="O104" s="109"/>
      <c r="P104" s="110"/>
      <c r="Q104" s="17">
        <f t="shared" si="11"/>
        <v>64</v>
      </c>
      <c r="R104" s="235"/>
      <c r="S104" s="236"/>
    </row>
    <row r="105" spans="1:19" ht="15" thickBot="1">
      <c r="A105" s="1" t="s">
        <v>159</v>
      </c>
      <c r="B105" s="103" t="s">
        <v>158</v>
      </c>
      <c r="C105" s="63"/>
      <c r="D105" s="63"/>
      <c r="E105" s="119">
        <v>10</v>
      </c>
      <c r="F105" s="119">
        <v>26</v>
      </c>
      <c r="G105" s="120"/>
      <c r="H105" s="101"/>
      <c r="I105" s="101"/>
      <c r="J105" s="101"/>
      <c r="K105" s="101"/>
      <c r="L105" s="109"/>
      <c r="M105" s="109"/>
      <c r="N105" s="109"/>
      <c r="O105" s="109"/>
      <c r="P105" s="110"/>
      <c r="Q105" s="17">
        <f t="shared" si="11"/>
        <v>36</v>
      </c>
      <c r="R105" s="235"/>
      <c r="S105" s="236"/>
    </row>
    <row r="106" spans="1:19" s="65" customFormat="1" ht="19.5" customHeight="1" thickBot="1">
      <c r="A106" s="196" t="s">
        <v>206</v>
      </c>
      <c r="B106" s="197"/>
      <c r="C106" s="45">
        <f>+D106/Metas!I33</f>
        <v>1.2017479970866713</v>
      </c>
      <c r="D106" s="19">
        <f>+Q106/R106</f>
        <v>0.06609613983976693</v>
      </c>
      <c r="E106" s="54">
        <f>SUM(E90:E105)</f>
        <v>335</v>
      </c>
      <c r="F106" s="54">
        <f aca="true" t="shared" si="12" ref="F106:P106">SUM(F90:F105)</f>
        <v>391</v>
      </c>
      <c r="G106" s="54">
        <f t="shared" si="12"/>
        <v>0</v>
      </c>
      <c r="H106" s="14">
        <f t="shared" si="12"/>
        <v>0</v>
      </c>
      <c r="I106" s="14">
        <f t="shared" si="12"/>
        <v>0</v>
      </c>
      <c r="J106" s="14">
        <f t="shared" si="12"/>
        <v>0</v>
      </c>
      <c r="K106" s="14">
        <f t="shared" si="12"/>
        <v>0</v>
      </c>
      <c r="L106" s="14">
        <f t="shared" si="12"/>
        <v>0</v>
      </c>
      <c r="M106" s="14">
        <f t="shared" si="12"/>
        <v>0</v>
      </c>
      <c r="N106" s="14">
        <f t="shared" si="12"/>
        <v>0</v>
      </c>
      <c r="O106" s="14">
        <f t="shared" si="12"/>
        <v>0</v>
      </c>
      <c r="P106" s="14">
        <f t="shared" si="12"/>
        <v>0</v>
      </c>
      <c r="Q106" s="14">
        <f>SUM(Q90:Q105)</f>
        <v>726</v>
      </c>
      <c r="R106" s="239">
        <v>10984</v>
      </c>
      <c r="S106" s="240"/>
    </row>
    <row r="107" spans="1:19" ht="15" thickBot="1">
      <c r="A107" s="1" t="s">
        <v>172</v>
      </c>
      <c r="B107" s="103" t="s">
        <v>160</v>
      </c>
      <c r="C107" s="63"/>
      <c r="D107" s="63"/>
      <c r="E107" s="119"/>
      <c r="F107" s="119"/>
      <c r="G107" s="120"/>
      <c r="H107" s="101"/>
      <c r="I107" s="101"/>
      <c r="J107" s="101"/>
      <c r="K107" s="101"/>
      <c r="L107" s="109"/>
      <c r="M107" s="109"/>
      <c r="N107" s="109"/>
      <c r="O107" s="109"/>
      <c r="P107" s="110"/>
      <c r="Q107" s="17">
        <f aca="true" t="shared" si="13" ref="Q107:Q118">SUM(E107:P107)</f>
        <v>0</v>
      </c>
      <c r="R107" s="235"/>
      <c r="S107" s="236"/>
    </row>
    <row r="108" spans="1:19" ht="15" thickBot="1">
      <c r="A108" s="1" t="s">
        <v>172</v>
      </c>
      <c r="B108" s="103" t="s">
        <v>161</v>
      </c>
      <c r="C108" s="63"/>
      <c r="D108" s="63"/>
      <c r="E108" s="119">
        <v>1</v>
      </c>
      <c r="F108" s="119"/>
      <c r="G108" s="120"/>
      <c r="H108" s="101"/>
      <c r="I108" s="101"/>
      <c r="J108" s="101"/>
      <c r="K108" s="101"/>
      <c r="L108" s="109"/>
      <c r="M108" s="109"/>
      <c r="N108" s="109"/>
      <c r="O108" s="109"/>
      <c r="P108" s="110"/>
      <c r="Q108" s="17">
        <f t="shared" si="13"/>
        <v>1</v>
      </c>
      <c r="R108" s="235"/>
      <c r="S108" s="236"/>
    </row>
    <row r="109" spans="1:19" ht="15" thickBot="1">
      <c r="A109" s="1" t="s">
        <v>172</v>
      </c>
      <c r="B109" s="103" t="s">
        <v>162</v>
      </c>
      <c r="C109" s="63"/>
      <c r="D109" s="63"/>
      <c r="E109" s="119">
        <v>15</v>
      </c>
      <c r="F109" s="119"/>
      <c r="G109" s="120"/>
      <c r="H109" s="101"/>
      <c r="I109" s="101"/>
      <c r="J109" s="101"/>
      <c r="K109" s="101"/>
      <c r="L109" s="109"/>
      <c r="M109" s="109"/>
      <c r="N109" s="109"/>
      <c r="O109" s="109"/>
      <c r="P109" s="110"/>
      <c r="Q109" s="17">
        <f t="shared" si="13"/>
        <v>15</v>
      </c>
      <c r="R109" s="235"/>
      <c r="S109" s="236"/>
    </row>
    <row r="110" spans="1:19" ht="15" thickBot="1">
      <c r="A110" s="1" t="s">
        <v>172</v>
      </c>
      <c r="B110" s="103" t="s">
        <v>163</v>
      </c>
      <c r="C110" s="63"/>
      <c r="D110" s="63"/>
      <c r="E110" s="119">
        <v>6</v>
      </c>
      <c r="F110" s="119">
        <v>16</v>
      </c>
      <c r="G110" s="120"/>
      <c r="H110" s="101"/>
      <c r="I110" s="101"/>
      <c r="J110" s="101"/>
      <c r="K110" s="101"/>
      <c r="L110" s="109"/>
      <c r="M110" s="109"/>
      <c r="N110" s="109"/>
      <c r="O110" s="109"/>
      <c r="P110" s="110"/>
      <c r="Q110" s="17">
        <f t="shared" si="13"/>
        <v>22</v>
      </c>
      <c r="R110" s="235"/>
      <c r="S110" s="236"/>
    </row>
    <row r="111" spans="1:19" ht="15" thickBot="1">
      <c r="A111" s="1" t="s">
        <v>172</v>
      </c>
      <c r="B111" s="103" t="s">
        <v>164</v>
      </c>
      <c r="C111" s="63"/>
      <c r="D111" s="63"/>
      <c r="E111" s="119">
        <v>6</v>
      </c>
      <c r="F111" s="119"/>
      <c r="G111" s="120"/>
      <c r="H111" s="101"/>
      <c r="I111" s="101"/>
      <c r="J111" s="101"/>
      <c r="K111" s="101"/>
      <c r="L111" s="109"/>
      <c r="M111" s="109"/>
      <c r="N111" s="109"/>
      <c r="O111" s="109"/>
      <c r="P111" s="110"/>
      <c r="Q111" s="17">
        <f t="shared" si="13"/>
        <v>6</v>
      </c>
      <c r="R111" s="235"/>
      <c r="S111" s="236"/>
    </row>
    <row r="112" spans="1:19" ht="15" thickBot="1">
      <c r="A112" s="1" t="s">
        <v>172</v>
      </c>
      <c r="B112" s="103" t="s">
        <v>165</v>
      </c>
      <c r="C112" s="63"/>
      <c r="D112" s="63"/>
      <c r="E112" s="119">
        <v>4</v>
      </c>
      <c r="F112" s="119"/>
      <c r="G112" s="120"/>
      <c r="H112" s="101"/>
      <c r="I112" s="101"/>
      <c r="J112" s="101"/>
      <c r="K112" s="101"/>
      <c r="L112" s="109"/>
      <c r="M112" s="109"/>
      <c r="N112" s="109"/>
      <c r="O112" s="109"/>
      <c r="P112" s="110"/>
      <c r="Q112" s="17">
        <f t="shared" si="13"/>
        <v>4</v>
      </c>
      <c r="R112" s="235"/>
      <c r="S112" s="236"/>
    </row>
    <row r="113" spans="1:19" ht="15" thickBot="1">
      <c r="A113" s="1" t="s">
        <v>172</v>
      </c>
      <c r="B113" s="103" t="s">
        <v>166</v>
      </c>
      <c r="C113" s="63"/>
      <c r="D113" s="63"/>
      <c r="E113" s="119">
        <v>11</v>
      </c>
      <c r="F113" s="119"/>
      <c r="G113" s="120"/>
      <c r="H113" s="101"/>
      <c r="I113" s="101"/>
      <c r="J113" s="101"/>
      <c r="K113" s="101"/>
      <c r="L113" s="109"/>
      <c r="M113" s="109"/>
      <c r="N113" s="109"/>
      <c r="O113" s="109"/>
      <c r="P113" s="110"/>
      <c r="Q113" s="17">
        <f t="shared" si="13"/>
        <v>11</v>
      </c>
      <c r="R113" s="235"/>
      <c r="S113" s="236"/>
    </row>
    <row r="114" spans="1:19" ht="15" thickBot="1">
      <c r="A114" s="1" t="s">
        <v>172</v>
      </c>
      <c r="B114" s="103" t="s">
        <v>167</v>
      </c>
      <c r="C114" s="63"/>
      <c r="D114" s="63"/>
      <c r="E114" s="119">
        <v>16</v>
      </c>
      <c r="F114" s="119"/>
      <c r="G114" s="120"/>
      <c r="H114" s="101"/>
      <c r="I114" s="101"/>
      <c r="J114" s="101"/>
      <c r="K114" s="101"/>
      <c r="L114" s="109"/>
      <c r="M114" s="109"/>
      <c r="N114" s="109"/>
      <c r="O114" s="109"/>
      <c r="P114" s="110"/>
      <c r="Q114" s="17">
        <f t="shared" si="13"/>
        <v>16</v>
      </c>
      <c r="R114" s="235"/>
      <c r="S114" s="236"/>
    </row>
    <row r="115" spans="1:19" ht="15" thickBot="1">
      <c r="A115" s="1" t="s">
        <v>172</v>
      </c>
      <c r="B115" s="103" t="s">
        <v>168</v>
      </c>
      <c r="C115" s="63"/>
      <c r="D115" s="63"/>
      <c r="E115" s="119">
        <v>6</v>
      </c>
      <c r="F115" s="119"/>
      <c r="G115" s="120"/>
      <c r="H115" s="101"/>
      <c r="I115" s="101"/>
      <c r="J115" s="101"/>
      <c r="K115" s="101"/>
      <c r="L115" s="109"/>
      <c r="M115" s="109"/>
      <c r="N115" s="109"/>
      <c r="O115" s="109"/>
      <c r="P115" s="110"/>
      <c r="Q115" s="17">
        <f t="shared" si="13"/>
        <v>6</v>
      </c>
      <c r="R115" s="235"/>
      <c r="S115" s="236"/>
    </row>
    <row r="116" spans="1:19" ht="15" thickBot="1">
      <c r="A116" s="1" t="s">
        <v>172</v>
      </c>
      <c r="B116" s="103" t="s">
        <v>169</v>
      </c>
      <c r="C116" s="63"/>
      <c r="D116" s="63"/>
      <c r="E116" s="119">
        <v>7</v>
      </c>
      <c r="F116" s="119"/>
      <c r="G116" s="120"/>
      <c r="H116" s="101"/>
      <c r="I116" s="101"/>
      <c r="J116" s="101"/>
      <c r="K116" s="101"/>
      <c r="L116" s="109"/>
      <c r="M116" s="109"/>
      <c r="N116" s="109"/>
      <c r="O116" s="109"/>
      <c r="P116" s="110"/>
      <c r="Q116" s="17">
        <f t="shared" si="13"/>
        <v>7</v>
      </c>
      <c r="R116" s="235"/>
      <c r="S116" s="236"/>
    </row>
    <row r="117" spans="1:19" ht="15" thickBot="1">
      <c r="A117" s="1" t="s">
        <v>172</v>
      </c>
      <c r="B117" s="103" t="s">
        <v>170</v>
      </c>
      <c r="C117" s="63"/>
      <c r="D117" s="63"/>
      <c r="E117" s="119">
        <v>9</v>
      </c>
      <c r="F117" s="119"/>
      <c r="G117" s="120"/>
      <c r="H117" s="101"/>
      <c r="I117" s="101"/>
      <c r="J117" s="101"/>
      <c r="K117" s="101"/>
      <c r="L117" s="109"/>
      <c r="M117" s="109"/>
      <c r="N117" s="109"/>
      <c r="O117" s="109"/>
      <c r="P117" s="110"/>
      <c r="Q117" s="17">
        <f t="shared" si="13"/>
        <v>9</v>
      </c>
      <c r="R117" s="235"/>
      <c r="S117" s="236"/>
    </row>
    <row r="118" spans="1:19" ht="15" thickBot="1">
      <c r="A118" s="1" t="s">
        <v>172</v>
      </c>
      <c r="B118" s="103" t="s">
        <v>171</v>
      </c>
      <c r="C118" s="63"/>
      <c r="D118" s="63"/>
      <c r="E118" s="119">
        <v>8</v>
      </c>
      <c r="F118" s="119"/>
      <c r="G118" s="120"/>
      <c r="H118" s="101"/>
      <c r="I118" s="101"/>
      <c r="J118" s="101"/>
      <c r="K118" s="101"/>
      <c r="L118" s="109"/>
      <c r="M118" s="109"/>
      <c r="N118" s="109"/>
      <c r="O118" s="109"/>
      <c r="P118" s="110"/>
      <c r="Q118" s="17">
        <f t="shared" si="13"/>
        <v>8</v>
      </c>
      <c r="R118" s="235"/>
      <c r="S118" s="236"/>
    </row>
    <row r="119" spans="1:19" s="65" customFormat="1" ht="15" thickBot="1">
      <c r="A119" s="196" t="s">
        <v>207</v>
      </c>
      <c r="B119" s="197"/>
      <c r="C119" s="45">
        <f>+D119/Metas!I27</f>
        <v>1.322101764061497</v>
      </c>
      <c r="D119" s="19">
        <f>+Q119/R119</f>
        <v>0.09122502172024327</v>
      </c>
      <c r="E119" s="54">
        <f>SUM(E107:E118)</f>
        <v>89</v>
      </c>
      <c r="F119" s="54">
        <f aca="true" t="shared" si="14" ref="F119:P119">SUM(F107:F118)</f>
        <v>16</v>
      </c>
      <c r="G119" s="54">
        <f t="shared" si="14"/>
        <v>0</v>
      </c>
      <c r="H119" s="14">
        <f t="shared" si="14"/>
        <v>0</v>
      </c>
      <c r="I119" s="14">
        <f t="shared" si="14"/>
        <v>0</v>
      </c>
      <c r="J119" s="14">
        <f t="shared" si="14"/>
        <v>0</v>
      </c>
      <c r="K119" s="14">
        <f t="shared" si="14"/>
        <v>0</v>
      </c>
      <c r="L119" s="14">
        <f t="shared" si="14"/>
        <v>0</v>
      </c>
      <c r="M119" s="14">
        <f t="shared" si="14"/>
        <v>0</v>
      </c>
      <c r="N119" s="14">
        <f t="shared" si="14"/>
        <v>0</v>
      </c>
      <c r="O119" s="14">
        <f t="shared" si="14"/>
        <v>0</v>
      </c>
      <c r="P119" s="14">
        <f t="shared" si="14"/>
        <v>0</v>
      </c>
      <c r="Q119" s="14">
        <f>SUM(Q107:Q118)</f>
        <v>105</v>
      </c>
      <c r="R119" s="239">
        <v>1151</v>
      </c>
      <c r="S119" s="240"/>
    </row>
    <row r="120" spans="1:19" ht="15" thickBot="1">
      <c r="A120" s="110" t="s">
        <v>186</v>
      </c>
      <c r="B120" s="103" t="s">
        <v>173</v>
      </c>
      <c r="C120" s="63"/>
      <c r="D120" s="63"/>
      <c r="E120" s="119">
        <v>37</v>
      </c>
      <c r="F120" s="119">
        <v>61</v>
      </c>
      <c r="G120" s="120"/>
      <c r="H120" s="101"/>
      <c r="I120" s="101"/>
      <c r="J120" s="101"/>
      <c r="K120" s="101"/>
      <c r="L120" s="109"/>
      <c r="M120" s="109"/>
      <c r="N120" s="109"/>
      <c r="O120" s="109"/>
      <c r="P120" s="110"/>
      <c r="Q120" s="17">
        <f aca="true" t="shared" si="15" ref="Q120:Q132">SUM(E120:P120)</f>
        <v>98</v>
      </c>
      <c r="R120" s="235"/>
      <c r="S120" s="236"/>
    </row>
    <row r="121" spans="1:19" ht="15" thickBot="1">
      <c r="A121" s="110" t="s">
        <v>186</v>
      </c>
      <c r="B121" s="103" t="s">
        <v>174</v>
      </c>
      <c r="C121" s="63"/>
      <c r="D121" s="63"/>
      <c r="E121" s="119">
        <v>16</v>
      </c>
      <c r="F121" s="119">
        <v>25</v>
      </c>
      <c r="G121" s="120"/>
      <c r="H121" s="101"/>
      <c r="I121" s="101"/>
      <c r="J121" s="101"/>
      <c r="K121" s="101"/>
      <c r="L121" s="109"/>
      <c r="M121" s="109"/>
      <c r="N121" s="109"/>
      <c r="O121" s="109"/>
      <c r="P121" s="110"/>
      <c r="Q121" s="17">
        <f t="shared" si="15"/>
        <v>41</v>
      </c>
      <c r="R121" s="235"/>
      <c r="S121" s="236"/>
    </row>
    <row r="122" spans="1:19" ht="15" thickBot="1">
      <c r="A122" s="110" t="s">
        <v>186</v>
      </c>
      <c r="B122" s="103" t="s">
        <v>175</v>
      </c>
      <c r="C122" s="63"/>
      <c r="D122" s="63"/>
      <c r="E122" s="119">
        <v>5</v>
      </c>
      <c r="F122" s="119">
        <v>39</v>
      </c>
      <c r="G122" s="120"/>
      <c r="H122" s="101"/>
      <c r="I122" s="101"/>
      <c r="J122" s="101"/>
      <c r="K122" s="101"/>
      <c r="L122" s="109"/>
      <c r="M122" s="109"/>
      <c r="N122" s="109"/>
      <c r="O122" s="109"/>
      <c r="P122" s="110"/>
      <c r="Q122" s="17">
        <f t="shared" si="15"/>
        <v>44</v>
      </c>
      <c r="R122" s="235"/>
      <c r="S122" s="236"/>
    </row>
    <row r="123" spans="1:19" ht="15" thickBot="1">
      <c r="A123" s="110" t="s">
        <v>186</v>
      </c>
      <c r="B123" s="103" t="s">
        <v>176</v>
      </c>
      <c r="C123" s="63"/>
      <c r="D123" s="63"/>
      <c r="E123" s="119">
        <v>35</v>
      </c>
      <c r="F123" s="119">
        <v>50</v>
      </c>
      <c r="G123" s="120"/>
      <c r="H123" s="101"/>
      <c r="I123" s="101"/>
      <c r="J123" s="101"/>
      <c r="K123" s="101"/>
      <c r="L123" s="109"/>
      <c r="M123" s="109"/>
      <c r="N123" s="109"/>
      <c r="O123" s="109"/>
      <c r="P123" s="110"/>
      <c r="Q123" s="17">
        <f t="shared" si="15"/>
        <v>85</v>
      </c>
      <c r="R123" s="235"/>
      <c r="S123" s="236"/>
    </row>
    <row r="124" spans="1:19" ht="15" thickBot="1">
      <c r="A124" s="110" t="s">
        <v>186</v>
      </c>
      <c r="B124" s="103" t="s">
        <v>177</v>
      </c>
      <c r="C124" s="63"/>
      <c r="D124" s="63"/>
      <c r="E124" s="119">
        <v>8</v>
      </c>
      <c r="F124" s="119">
        <v>5</v>
      </c>
      <c r="G124" s="120"/>
      <c r="H124" s="101"/>
      <c r="I124" s="101"/>
      <c r="J124" s="101"/>
      <c r="K124" s="101"/>
      <c r="L124" s="109"/>
      <c r="M124" s="109"/>
      <c r="N124" s="109"/>
      <c r="O124" s="109"/>
      <c r="P124" s="110"/>
      <c r="Q124" s="17">
        <f t="shared" si="15"/>
        <v>13</v>
      </c>
      <c r="R124" s="235"/>
      <c r="S124" s="236"/>
    </row>
    <row r="125" spans="1:19" ht="15" thickBot="1">
      <c r="A125" s="110" t="s">
        <v>186</v>
      </c>
      <c r="B125" s="103" t="s">
        <v>178</v>
      </c>
      <c r="C125" s="63"/>
      <c r="D125" s="63"/>
      <c r="E125" s="119">
        <v>0</v>
      </c>
      <c r="F125" s="119">
        <v>2</v>
      </c>
      <c r="G125" s="120"/>
      <c r="H125" s="101"/>
      <c r="I125" s="101"/>
      <c r="J125" s="101"/>
      <c r="K125" s="101"/>
      <c r="L125" s="109"/>
      <c r="M125" s="109"/>
      <c r="N125" s="109"/>
      <c r="O125" s="109"/>
      <c r="P125" s="110"/>
      <c r="Q125" s="17">
        <f t="shared" si="15"/>
        <v>2</v>
      </c>
      <c r="R125" s="235"/>
      <c r="S125" s="236"/>
    </row>
    <row r="126" spans="1:19" ht="15" thickBot="1">
      <c r="A126" s="110" t="s">
        <v>186</v>
      </c>
      <c r="B126" s="103" t="s">
        <v>179</v>
      </c>
      <c r="C126" s="63"/>
      <c r="D126" s="63"/>
      <c r="E126" s="119"/>
      <c r="F126" s="119">
        <v>11</v>
      </c>
      <c r="G126" s="120"/>
      <c r="H126" s="101"/>
      <c r="I126" s="101"/>
      <c r="J126" s="101"/>
      <c r="K126" s="101"/>
      <c r="L126" s="109"/>
      <c r="M126" s="109"/>
      <c r="N126" s="109"/>
      <c r="O126" s="109"/>
      <c r="P126" s="110"/>
      <c r="Q126" s="17">
        <f t="shared" si="15"/>
        <v>11</v>
      </c>
      <c r="R126" s="235"/>
      <c r="S126" s="236"/>
    </row>
    <row r="127" spans="1:19" ht="15" thickBot="1">
      <c r="A127" s="110" t="s">
        <v>186</v>
      </c>
      <c r="B127" s="103" t="s">
        <v>180</v>
      </c>
      <c r="C127" s="63"/>
      <c r="D127" s="63"/>
      <c r="E127" s="119">
        <v>1</v>
      </c>
      <c r="F127" s="119">
        <v>2</v>
      </c>
      <c r="G127" s="120"/>
      <c r="H127" s="101"/>
      <c r="I127" s="101"/>
      <c r="J127" s="101"/>
      <c r="K127" s="101"/>
      <c r="L127" s="109"/>
      <c r="M127" s="109"/>
      <c r="N127" s="109"/>
      <c r="O127" s="109"/>
      <c r="P127" s="110"/>
      <c r="Q127" s="17">
        <f t="shared" si="15"/>
        <v>3</v>
      </c>
      <c r="R127" s="235"/>
      <c r="S127" s="236"/>
    </row>
    <row r="128" spans="1:19" ht="15" thickBot="1">
      <c r="A128" s="110" t="s">
        <v>186</v>
      </c>
      <c r="B128" s="103" t="s">
        <v>181</v>
      </c>
      <c r="C128" s="63"/>
      <c r="D128" s="63"/>
      <c r="E128" s="119">
        <v>3</v>
      </c>
      <c r="F128" s="119">
        <v>7</v>
      </c>
      <c r="G128" s="120"/>
      <c r="H128" s="101"/>
      <c r="I128" s="101"/>
      <c r="J128" s="101"/>
      <c r="K128" s="101"/>
      <c r="L128" s="109"/>
      <c r="M128" s="109"/>
      <c r="N128" s="109"/>
      <c r="O128" s="109"/>
      <c r="P128" s="110"/>
      <c r="Q128" s="17">
        <f t="shared" si="15"/>
        <v>10</v>
      </c>
      <c r="R128" s="235"/>
      <c r="S128" s="236"/>
    </row>
    <row r="129" spans="1:19" ht="15" thickBot="1">
      <c r="A129" s="110" t="s">
        <v>186</v>
      </c>
      <c r="B129" s="103" t="s">
        <v>182</v>
      </c>
      <c r="C129" s="63"/>
      <c r="D129" s="63"/>
      <c r="E129" s="119">
        <v>4</v>
      </c>
      <c r="F129" s="119">
        <v>18</v>
      </c>
      <c r="G129" s="120"/>
      <c r="H129" s="101"/>
      <c r="I129" s="101"/>
      <c r="J129" s="101"/>
      <c r="K129" s="101"/>
      <c r="L129" s="109"/>
      <c r="M129" s="109"/>
      <c r="N129" s="109"/>
      <c r="O129" s="109"/>
      <c r="P129" s="110"/>
      <c r="Q129" s="17">
        <f t="shared" si="15"/>
        <v>22</v>
      </c>
      <c r="R129" s="235"/>
      <c r="S129" s="236"/>
    </row>
    <row r="130" spans="1:19" ht="15" thickBot="1">
      <c r="A130" s="110" t="s">
        <v>186</v>
      </c>
      <c r="B130" s="103" t="s">
        <v>183</v>
      </c>
      <c r="C130" s="63"/>
      <c r="D130" s="63"/>
      <c r="E130" s="119"/>
      <c r="F130" s="119">
        <v>2</v>
      </c>
      <c r="G130" s="120"/>
      <c r="H130" s="101"/>
      <c r="I130" s="101"/>
      <c r="J130" s="101"/>
      <c r="K130" s="101"/>
      <c r="L130" s="109"/>
      <c r="M130" s="109"/>
      <c r="N130" s="109"/>
      <c r="O130" s="109"/>
      <c r="P130" s="110"/>
      <c r="Q130" s="17">
        <f t="shared" si="15"/>
        <v>2</v>
      </c>
      <c r="R130" s="235"/>
      <c r="S130" s="236"/>
    </row>
    <row r="131" spans="1:19" ht="15" thickBot="1">
      <c r="A131" s="110" t="s">
        <v>186</v>
      </c>
      <c r="B131" s="103" t="s">
        <v>184</v>
      </c>
      <c r="C131" s="63"/>
      <c r="D131" s="63"/>
      <c r="E131" s="119">
        <v>4</v>
      </c>
      <c r="F131" s="119">
        <v>2</v>
      </c>
      <c r="G131" s="120"/>
      <c r="H131" s="101"/>
      <c r="I131" s="101"/>
      <c r="J131" s="101"/>
      <c r="K131" s="101"/>
      <c r="L131" s="109"/>
      <c r="M131" s="109"/>
      <c r="N131" s="109"/>
      <c r="O131" s="109"/>
      <c r="P131" s="110"/>
      <c r="Q131" s="17">
        <f t="shared" si="15"/>
        <v>6</v>
      </c>
      <c r="R131" s="235"/>
      <c r="S131" s="236"/>
    </row>
    <row r="132" spans="1:19" ht="15" thickBot="1">
      <c r="A132" s="110" t="s">
        <v>186</v>
      </c>
      <c r="B132" s="103" t="s">
        <v>185</v>
      </c>
      <c r="C132" s="63"/>
      <c r="D132" s="63"/>
      <c r="E132" s="119"/>
      <c r="F132" s="119"/>
      <c r="G132" s="120"/>
      <c r="H132" s="101"/>
      <c r="I132" s="101"/>
      <c r="J132" s="101"/>
      <c r="K132" s="101"/>
      <c r="L132" s="109"/>
      <c r="M132" s="109"/>
      <c r="N132" s="109"/>
      <c r="O132" s="109"/>
      <c r="P132" s="110"/>
      <c r="Q132" s="17">
        <f t="shared" si="15"/>
        <v>0</v>
      </c>
      <c r="R132" s="235"/>
      <c r="S132" s="236"/>
    </row>
    <row r="133" spans="1:19" s="65" customFormat="1" ht="15" thickBot="1">
      <c r="A133" s="196" t="s">
        <v>208</v>
      </c>
      <c r="B133" s="197"/>
      <c r="C133" s="45">
        <f>+D133/Metas!I32</f>
        <v>1.4702161261332005</v>
      </c>
      <c r="D133" s="19">
        <f>+Q133/R133</f>
        <v>0.09703426432479124</v>
      </c>
      <c r="E133" s="54">
        <f>SUM(E120:E132)</f>
        <v>113</v>
      </c>
      <c r="F133" s="54">
        <f aca="true" t="shared" si="16" ref="F133:P133">SUM(F120:F132)</f>
        <v>224</v>
      </c>
      <c r="G133" s="54">
        <f t="shared" si="16"/>
        <v>0</v>
      </c>
      <c r="H133" s="14">
        <f t="shared" si="16"/>
        <v>0</v>
      </c>
      <c r="I133" s="14">
        <f t="shared" si="16"/>
        <v>0</v>
      </c>
      <c r="J133" s="14">
        <f t="shared" si="16"/>
        <v>0</v>
      </c>
      <c r="K133" s="14">
        <f t="shared" si="16"/>
        <v>0</v>
      </c>
      <c r="L133" s="14">
        <f t="shared" si="16"/>
        <v>0</v>
      </c>
      <c r="M133" s="14">
        <f t="shared" si="16"/>
        <v>0</v>
      </c>
      <c r="N133" s="14">
        <f t="shared" si="16"/>
        <v>0</v>
      </c>
      <c r="O133" s="14">
        <f t="shared" si="16"/>
        <v>0</v>
      </c>
      <c r="P133" s="14">
        <f t="shared" si="16"/>
        <v>0</v>
      </c>
      <c r="Q133" s="14">
        <f>SUM(Q120:Q132)</f>
        <v>337</v>
      </c>
      <c r="R133" s="239">
        <v>3473</v>
      </c>
      <c r="S133" s="240"/>
    </row>
    <row r="134" spans="1:19" ht="15" thickBot="1">
      <c r="A134" s="110" t="s">
        <v>191</v>
      </c>
      <c r="B134" s="103" t="s">
        <v>187</v>
      </c>
      <c r="C134" s="63"/>
      <c r="D134" s="63"/>
      <c r="E134" s="119">
        <v>14</v>
      </c>
      <c r="F134" s="119">
        <v>12</v>
      </c>
      <c r="G134" s="120"/>
      <c r="H134" s="101"/>
      <c r="I134" s="101"/>
      <c r="J134" s="101"/>
      <c r="K134" s="101"/>
      <c r="L134" s="109"/>
      <c r="M134" s="109"/>
      <c r="N134" s="109"/>
      <c r="O134" s="109"/>
      <c r="P134" s="110"/>
      <c r="Q134" s="17">
        <f>SUM(E134:P134)</f>
        <v>26</v>
      </c>
      <c r="R134" s="235"/>
      <c r="S134" s="236"/>
    </row>
    <row r="135" spans="1:19" ht="15" thickBot="1">
      <c r="A135" s="110" t="s">
        <v>191</v>
      </c>
      <c r="B135" s="103" t="s">
        <v>188</v>
      </c>
      <c r="C135" s="63"/>
      <c r="D135" s="63"/>
      <c r="E135" s="119">
        <v>1</v>
      </c>
      <c r="F135" s="119">
        <v>24</v>
      </c>
      <c r="G135" s="120"/>
      <c r="H135" s="101"/>
      <c r="I135" s="101"/>
      <c r="J135" s="101"/>
      <c r="K135" s="101"/>
      <c r="L135" s="109"/>
      <c r="M135" s="109"/>
      <c r="N135" s="109"/>
      <c r="O135" s="109"/>
      <c r="P135" s="110"/>
      <c r="Q135" s="17">
        <f>SUM(E135:P135)</f>
        <v>25</v>
      </c>
      <c r="R135" s="235"/>
      <c r="S135" s="236"/>
    </row>
    <row r="136" spans="1:19" ht="15" thickBot="1">
      <c r="A136" s="110" t="s">
        <v>191</v>
      </c>
      <c r="B136" s="103" t="s">
        <v>189</v>
      </c>
      <c r="C136" s="63"/>
      <c r="D136" s="63"/>
      <c r="E136" s="119"/>
      <c r="F136" s="119"/>
      <c r="G136" s="120"/>
      <c r="H136" s="101"/>
      <c r="I136" s="101"/>
      <c r="J136" s="101"/>
      <c r="K136" s="101"/>
      <c r="L136" s="109"/>
      <c r="M136" s="109"/>
      <c r="N136" s="109"/>
      <c r="O136" s="109"/>
      <c r="P136" s="110"/>
      <c r="Q136" s="17">
        <f>SUM(E136:P136)</f>
        <v>0</v>
      </c>
      <c r="R136" s="235"/>
      <c r="S136" s="236"/>
    </row>
    <row r="137" spans="1:19" ht="15" thickBot="1">
      <c r="A137" s="110" t="s">
        <v>191</v>
      </c>
      <c r="B137" s="103" t="s">
        <v>190</v>
      </c>
      <c r="C137" s="63"/>
      <c r="D137" s="63"/>
      <c r="E137" s="119"/>
      <c r="F137" s="119">
        <v>2</v>
      </c>
      <c r="G137" s="120"/>
      <c r="H137" s="101"/>
      <c r="I137" s="101"/>
      <c r="J137" s="101"/>
      <c r="K137" s="101"/>
      <c r="L137" s="109"/>
      <c r="M137" s="109"/>
      <c r="N137" s="109"/>
      <c r="O137" s="109"/>
      <c r="P137" s="110"/>
      <c r="Q137" s="17">
        <f>SUM(E137:P137)</f>
        <v>2</v>
      </c>
      <c r="R137" s="235"/>
      <c r="S137" s="236"/>
    </row>
    <row r="138" spans="1:19" s="65" customFormat="1" ht="15" thickBot="1">
      <c r="A138" s="196" t="s">
        <v>209</v>
      </c>
      <c r="B138" s="197"/>
      <c r="C138" s="45">
        <f>+D138/Metas!I34</f>
        <v>0.6873297886136688</v>
      </c>
      <c r="D138" s="19">
        <f>+Q138/R138</f>
        <v>0.037803138373751786</v>
      </c>
      <c r="E138" s="54">
        <f>SUM(E134:E137)</f>
        <v>15</v>
      </c>
      <c r="F138" s="54">
        <f aca="true" t="shared" si="17" ref="F138:P138">SUM(F134:F137)</f>
        <v>38</v>
      </c>
      <c r="G138" s="54">
        <f t="shared" si="17"/>
        <v>0</v>
      </c>
      <c r="H138" s="14">
        <f t="shared" si="17"/>
        <v>0</v>
      </c>
      <c r="I138" s="14">
        <f t="shared" si="17"/>
        <v>0</v>
      </c>
      <c r="J138" s="14">
        <f t="shared" si="17"/>
        <v>0</v>
      </c>
      <c r="K138" s="14">
        <f t="shared" si="17"/>
        <v>0</v>
      </c>
      <c r="L138" s="14">
        <f t="shared" si="17"/>
        <v>0</v>
      </c>
      <c r="M138" s="14">
        <f t="shared" si="17"/>
        <v>0</v>
      </c>
      <c r="N138" s="14">
        <f t="shared" si="17"/>
        <v>0</v>
      </c>
      <c r="O138" s="14">
        <f t="shared" si="17"/>
        <v>0</v>
      </c>
      <c r="P138" s="14">
        <f t="shared" si="17"/>
        <v>0</v>
      </c>
      <c r="Q138" s="14">
        <f>SUM(Q134:Q137)</f>
        <v>53</v>
      </c>
      <c r="R138" s="239">
        <v>1402</v>
      </c>
      <c r="S138" s="240"/>
    </row>
    <row r="139" spans="1:19" ht="15" thickBot="1">
      <c r="A139" s="110" t="s">
        <v>199</v>
      </c>
      <c r="B139" s="103" t="s">
        <v>192</v>
      </c>
      <c r="C139" s="63"/>
      <c r="D139" s="63"/>
      <c r="E139" s="119">
        <v>3</v>
      </c>
      <c r="F139" s="119"/>
      <c r="G139" s="120"/>
      <c r="H139" s="101"/>
      <c r="I139" s="101"/>
      <c r="J139" s="101"/>
      <c r="K139" s="101"/>
      <c r="L139" s="109"/>
      <c r="M139" s="109"/>
      <c r="N139" s="109"/>
      <c r="O139" s="109"/>
      <c r="P139" s="110"/>
      <c r="Q139" s="17">
        <f aca="true" t="shared" si="18" ref="Q139:Q145">SUM(E139:P139)</f>
        <v>3</v>
      </c>
      <c r="R139" s="235"/>
      <c r="S139" s="236"/>
    </row>
    <row r="140" spans="1:19" ht="15" thickBot="1">
      <c r="A140" s="110" t="s">
        <v>199</v>
      </c>
      <c r="B140" s="103" t="s">
        <v>193</v>
      </c>
      <c r="C140" s="63"/>
      <c r="D140" s="63"/>
      <c r="E140" s="119">
        <v>5</v>
      </c>
      <c r="F140" s="119">
        <v>1</v>
      </c>
      <c r="G140" s="120"/>
      <c r="H140" s="101"/>
      <c r="I140" s="101"/>
      <c r="J140" s="101"/>
      <c r="K140" s="101"/>
      <c r="L140" s="109"/>
      <c r="M140" s="109"/>
      <c r="N140" s="109"/>
      <c r="O140" s="109"/>
      <c r="P140" s="110"/>
      <c r="Q140" s="17">
        <f t="shared" si="18"/>
        <v>6</v>
      </c>
      <c r="R140" s="235"/>
      <c r="S140" s="236"/>
    </row>
    <row r="141" spans="1:19" ht="15" thickBot="1">
      <c r="A141" s="110" t="s">
        <v>199</v>
      </c>
      <c r="B141" s="103" t="s">
        <v>194</v>
      </c>
      <c r="C141" s="63"/>
      <c r="D141" s="63"/>
      <c r="E141" s="119">
        <v>9</v>
      </c>
      <c r="F141" s="119">
        <v>6</v>
      </c>
      <c r="G141" s="120"/>
      <c r="H141" s="101"/>
      <c r="I141" s="101"/>
      <c r="J141" s="101"/>
      <c r="K141" s="101"/>
      <c r="L141" s="109"/>
      <c r="M141" s="109"/>
      <c r="N141" s="109"/>
      <c r="O141" s="109"/>
      <c r="P141" s="110"/>
      <c r="Q141" s="17">
        <f t="shared" si="18"/>
        <v>15</v>
      </c>
      <c r="R141" s="235"/>
      <c r="S141" s="236"/>
    </row>
    <row r="142" spans="1:19" ht="15" thickBot="1">
      <c r="A142" s="110" t="s">
        <v>199</v>
      </c>
      <c r="B142" s="103" t="s">
        <v>195</v>
      </c>
      <c r="C142" s="63"/>
      <c r="D142" s="63"/>
      <c r="E142" s="119">
        <v>4</v>
      </c>
      <c r="F142" s="119">
        <v>3</v>
      </c>
      <c r="G142" s="120"/>
      <c r="H142" s="101"/>
      <c r="I142" s="101"/>
      <c r="J142" s="101"/>
      <c r="K142" s="101"/>
      <c r="L142" s="109"/>
      <c r="M142" s="109"/>
      <c r="N142" s="109"/>
      <c r="O142" s="109"/>
      <c r="P142" s="110"/>
      <c r="Q142" s="17">
        <f t="shared" si="18"/>
        <v>7</v>
      </c>
      <c r="R142" s="235"/>
      <c r="S142" s="236"/>
    </row>
    <row r="143" spans="1:19" ht="15" thickBot="1">
      <c r="A143" s="110" t="s">
        <v>199</v>
      </c>
      <c r="B143" s="103" t="s">
        <v>196</v>
      </c>
      <c r="C143" s="63"/>
      <c r="D143" s="63"/>
      <c r="E143" s="119"/>
      <c r="F143" s="119"/>
      <c r="G143" s="120"/>
      <c r="H143" s="101"/>
      <c r="I143" s="101"/>
      <c r="J143" s="101"/>
      <c r="K143" s="101"/>
      <c r="L143" s="109"/>
      <c r="M143" s="109"/>
      <c r="N143" s="109"/>
      <c r="O143" s="109"/>
      <c r="P143" s="110"/>
      <c r="Q143" s="17">
        <f t="shared" si="18"/>
        <v>0</v>
      </c>
      <c r="R143" s="235"/>
      <c r="S143" s="236"/>
    </row>
    <row r="144" spans="1:19" ht="15" thickBot="1">
      <c r="A144" s="110" t="s">
        <v>199</v>
      </c>
      <c r="B144" s="103" t="s">
        <v>197</v>
      </c>
      <c r="C144" s="63"/>
      <c r="D144" s="63"/>
      <c r="E144" s="119">
        <v>2</v>
      </c>
      <c r="F144" s="119">
        <v>2</v>
      </c>
      <c r="G144" s="120"/>
      <c r="H144" s="101"/>
      <c r="I144" s="101"/>
      <c r="J144" s="101"/>
      <c r="K144" s="101"/>
      <c r="L144" s="109"/>
      <c r="M144" s="109"/>
      <c r="N144" s="109"/>
      <c r="O144" s="109"/>
      <c r="P144" s="110"/>
      <c r="Q144" s="17">
        <f t="shared" si="18"/>
        <v>4</v>
      </c>
      <c r="R144" s="235"/>
      <c r="S144" s="236"/>
    </row>
    <row r="145" spans="1:19" ht="15" thickBot="1">
      <c r="A145" s="110" t="s">
        <v>199</v>
      </c>
      <c r="B145" s="103" t="s">
        <v>198</v>
      </c>
      <c r="C145" s="63"/>
      <c r="D145" s="63"/>
      <c r="E145" s="119">
        <v>3</v>
      </c>
      <c r="F145" s="119"/>
      <c r="G145" s="120"/>
      <c r="H145" s="101"/>
      <c r="I145" s="101"/>
      <c r="J145" s="101"/>
      <c r="K145" s="101"/>
      <c r="L145" s="109"/>
      <c r="M145" s="109"/>
      <c r="N145" s="109"/>
      <c r="O145" s="109"/>
      <c r="P145" s="110"/>
      <c r="Q145" s="17">
        <f t="shared" si="18"/>
        <v>3</v>
      </c>
      <c r="R145" s="235"/>
      <c r="S145" s="236"/>
    </row>
    <row r="146" spans="1:19" s="65" customFormat="1" ht="15" thickBot="1">
      <c r="A146" s="196" t="s">
        <v>210</v>
      </c>
      <c r="B146" s="197"/>
      <c r="C146" s="45">
        <f>+D146/Metas!I35</f>
        <v>0.8433948863636364</v>
      </c>
      <c r="D146" s="19">
        <f>+Q146/R146</f>
        <v>0.05397727272727273</v>
      </c>
      <c r="E146" s="54">
        <f>SUM(E139:E145)</f>
        <v>26</v>
      </c>
      <c r="F146" s="54">
        <f aca="true" t="shared" si="19" ref="F146:P146">SUM(F139:F145)</f>
        <v>12</v>
      </c>
      <c r="G146" s="54">
        <f t="shared" si="19"/>
        <v>0</v>
      </c>
      <c r="H146" s="14">
        <f t="shared" si="19"/>
        <v>0</v>
      </c>
      <c r="I146" s="14">
        <f t="shared" si="19"/>
        <v>0</v>
      </c>
      <c r="J146" s="14">
        <f t="shared" si="19"/>
        <v>0</v>
      </c>
      <c r="K146" s="14">
        <f t="shared" si="19"/>
        <v>0</v>
      </c>
      <c r="L146" s="14">
        <f t="shared" si="19"/>
        <v>0</v>
      </c>
      <c r="M146" s="14">
        <f t="shared" si="19"/>
        <v>0</v>
      </c>
      <c r="N146" s="14">
        <f t="shared" si="19"/>
        <v>0</v>
      </c>
      <c r="O146" s="14">
        <f t="shared" si="19"/>
        <v>0</v>
      </c>
      <c r="P146" s="14">
        <f t="shared" si="19"/>
        <v>0</v>
      </c>
      <c r="Q146" s="14">
        <f>SUM(Q139:Q145)</f>
        <v>38</v>
      </c>
      <c r="R146" s="239">
        <v>704</v>
      </c>
      <c r="S146" s="240"/>
    </row>
    <row r="147" spans="2:19" ht="14.25">
      <c r="B147" s="148" t="s">
        <v>215</v>
      </c>
      <c r="C147" s="72"/>
      <c r="D147" s="81"/>
      <c r="E147" s="77">
        <f aca="true" t="shared" si="20" ref="E147:R147">+E25+E36+E47+E61+E72+E78+E89+E106+E119+E133+E138+E146</f>
        <v>1937</v>
      </c>
      <c r="F147" s="77">
        <f t="shared" si="20"/>
        <v>2190</v>
      </c>
      <c r="G147" s="78">
        <f t="shared" si="20"/>
        <v>0</v>
      </c>
      <c r="H147" s="69">
        <f t="shared" si="20"/>
        <v>0</v>
      </c>
      <c r="I147" s="69">
        <f t="shared" si="20"/>
        <v>0</v>
      </c>
      <c r="J147" s="69">
        <f t="shared" si="20"/>
        <v>0</v>
      </c>
      <c r="K147" s="69">
        <f t="shared" si="20"/>
        <v>0</v>
      </c>
      <c r="L147" s="69">
        <f t="shared" si="20"/>
        <v>0</v>
      </c>
      <c r="M147" s="69">
        <f t="shared" si="20"/>
        <v>0</v>
      </c>
      <c r="N147" s="69">
        <f t="shared" si="20"/>
        <v>0</v>
      </c>
      <c r="O147" s="69">
        <f t="shared" si="20"/>
        <v>0</v>
      </c>
      <c r="P147" s="69">
        <f t="shared" si="20"/>
        <v>0</v>
      </c>
      <c r="Q147" s="76">
        <f t="shared" si="20"/>
        <v>4127</v>
      </c>
      <c r="R147" s="241">
        <f t="shared" si="20"/>
        <v>67805</v>
      </c>
      <c r="S147" s="241"/>
    </row>
    <row r="148" spans="3:17" ht="14.25">
      <c r="C148" s="74"/>
      <c r="D148" s="98"/>
      <c r="Q148" s="69"/>
    </row>
  </sheetData>
  <sheetProtection/>
  <mergeCells count="157">
    <mergeCell ref="R147:S147"/>
    <mergeCell ref="R146:S146"/>
    <mergeCell ref="R144:S144"/>
    <mergeCell ref="R145:S145"/>
    <mergeCell ref="R140:S140"/>
    <mergeCell ref="R131:S131"/>
    <mergeCell ref="R141:S141"/>
    <mergeCell ref="R142:S142"/>
    <mergeCell ref="R143:S143"/>
    <mergeCell ref="R132:S132"/>
    <mergeCell ref="R127:S127"/>
    <mergeCell ref="R128:S128"/>
    <mergeCell ref="R129:S129"/>
    <mergeCell ref="R130:S130"/>
    <mergeCell ref="R106:S106"/>
    <mergeCell ref="R123:S123"/>
    <mergeCell ref="R122:S122"/>
    <mergeCell ref="R111:S111"/>
    <mergeCell ref="R112:S112"/>
    <mergeCell ref="R113:S113"/>
    <mergeCell ref="R134:S134"/>
    <mergeCell ref="R135:S135"/>
    <mergeCell ref="R136:S136"/>
    <mergeCell ref="R137:S137"/>
    <mergeCell ref="R138:S138"/>
    <mergeCell ref="R139:S139"/>
    <mergeCell ref="R133:S133"/>
    <mergeCell ref="R124:S124"/>
    <mergeCell ref="R125:S125"/>
    <mergeCell ref="R126:S126"/>
    <mergeCell ref="R116:S116"/>
    <mergeCell ref="R117:S117"/>
    <mergeCell ref="R118:S118"/>
    <mergeCell ref="R120:S120"/>
    <mergeCell ref="R121:S121"/>
    <mergeCell ref="R119:S119"/>
    <mergeCell ref="R114:S114"/>
    <mergeCell ref="R115:S115"/>
    <mergeCell ref="R107:S107"/>
    <mergeCell ref="R108:S108"/>
    <mergeCell ref="R109:S109"/>
    <mergeCell ref="R110:S110"/>
    <mergeCell ref="R101:S101"/>
    <mergeCell ref="R102:S102"/>
    <mergeCell ref="R103:S103"/>
    <mergeCell ref="R104:S104"/>
    <mergeCell ref="R105:S105"/>
    <mergeCell ref="R96:S96"/>
    <mergeCell ref="R97:S97"/>
    <mergeCell ref="R98:S98"/>
    <mergeCell ref="R99:S99"/>
    <mergeCell ref="R100:S100"/>
    <mergeCell ref="R91:S91"/>
    <mergeCell ref="R92:S92"/>
    <mergeCell ref="R93:S93"/>
    <mergeCell ref="R94:S94"/>
    <mergeCell ref="R95:S95"/>
    <mergeCell ref="R86:S86"/>
    <mergeCell ref="R87:S87"/>
    <mergeCell ref="R88:S88"/>
    <mergeCell ref="R90:S90"/>
    <mergeCell ref="R89:S89"/>
    <mergeCell ref="R85:S85"/>
    <mergeCell ref="R76:S76"/>
    <mergeCell ref="R77:S77"/>
    <mergeCell ref="R79:S79"/>
    <mergeCell ref="R80:S80"/>
    <mergeCell ref="R78:S78"/>
    <mergeCell ref="R70:S70"/>
    <mergeCell ref="R72:S72"/>
    <mergeCell ref="R81:S81"/>
    <mergeCell ref="R82:S82"/>
    <mergeCell ref="R83:S83"/>
    <mergeCell ref="R84:S84"/>
    <mergeCell ref="R45:S45"/>
    <mergeCell ref="R51:S51"/>
    <mergeCell ref="R52:S52"/>
    <mergeCell ref="R53:S53"/>
    <mergeCell ref="R47:S47"/>
    <mergeCell ref="R75:S75"/>
    <mergeCell ref="R66:S66"/>
    <mergeCell ref="R67:S67"/>
    <mergeCell ref="R68:S68"/>
    <mergeCell ref="R69:S69"/>
    <mergeCell ref="R64:S64"/>
    <mergeCell ref="A133:B133"/>
    <mergeCell ref="A138:B138"/>
    <mergeCell ref="A146:B146"/>
    <mergeCell ref="A106:B106"/>
    <mergeCell ref="A119:B119"/>
    <mergeCell ref="R65:S65"/>
    <mergeCell ref="R71:S71"/>
    <mergeCell ref="R73:S73"/>
    <mergeCell ref="R74:S74"/>
    <mergeCell ref="R58:S58"/>
    <mergeCell ref="R60:S60"/>
    <mergeCell ref="A47:B47"/>
    <mergeCell ref="R62:S62"/>
    <mergeCell ref="R63:S63"/>
    <mergeCell ref="R61:S61"/>
    <mergeCell ref="A61:B61"/>
    <mergeCell ref="R55:S55"/>
    <mergeCell ref="A72:B72"/>
    <mergeCell ref="A78:B78"/>
    <mergeCell ref="A89:B89"/>
    <mergeCell ref="R37:S37"/>
    <mergeCell ref="R54:S54"/>
    <mergeCell ref="R56:S56"/>
    <mergeCell ref="R59:S59"/>
    <mergeCell ref="R50:S50"/>
    <mergeCell ref="R46:S46"/>
    <mergeCell ref="R57:S57"/>
    <mergeCell ref="R35:S35"/>
    <mergeCell ref="R49:S49"/>
    <mergeCell ref="R38:S38"/>
    <mergeCell ref="R39:S39"/>
    <mergeCell ref="R40:S40"/>
    <mergeCell ref="R48:S48"/>
    <mergeCell ref="R41:S41"/>
    <mergeCell ref="R42:S42"/>
    <mergeCell ref="R43:S43"/>
    <mergeCell ref="R44:S44"/>
    <mergeCell ref="A25:B25"/>
    <mergeCell ref="R25:S25"/>
    <mergeCell ref="A36:B36"/>
    <mergeCell ref="R36:S36"/>
    <mergeCell ref="R26:S26"/>
    <mergeCell ref="R27:S27"/>
    <mergeCell ref="R28:S28"/>
    <mergeCell ref="R33:S33"/>
    <mergeCell ref="R34:S34"/>
    <mergeCell ref="R29:S29"/>
    <mergeCell ref="R20:S20"/>
    <mergeCell ref="R21:S21"/>
    <mergeCell ref="R22:S22"/>
    <mergeCell ref="R23:S23"/>
    <mergeCell ref="R24:S24"/>
    <mergeCell ref="R32:S32"/>
    <mergeCell ref="R30:S30"/>
    <mergeCell ref="R31:S31"/>
    <mergeCell ref="E1:S1"/>
    <mergeCell ref="R2:S9"/>
    <mergeCell ref="A1:A10"/>
    <mergeCell ref="B1:B10"/>
    <mergeCell ref="E2:Q9"/>
    <mergeCell ref="E10:Q10"/>
    <mergeCell ref="C1:C11"/>
    <mergeCell ref="R17:S17"/>
    <mergeCell ref="R18:S18"/>
    <mergeCell ref="R19:S19"/>
    <mergeCell ref="D1:D10"/>
    <mergeCell ref="R12:S12"/>
    <mergeCell ref="R13:S13"/>
    <mergeCell ref="R14:S14"/>
    <mergeCell ref="R15:S15"/>
    <mergeCell ref="R16:S16"/>
    <mergeCell ref="R10:S1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48"/>
  <sheetViews>
    <sheetView zoomScale="80" zoomScaleNormal="8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11.421875" defaultRowHeight="15"/>
  <cols>
    <col min="1" max="1" width="20.28125" style="110" customWidth="1"/>
    <col min="2" max="2" width="36.7109375" style="110" bestFit="1" customWidth="1"/>
    <col min="3" max="3" width="14.421875" style="62" customWidth="1"/>
    <col min="4" max="4" width="11.57421875" style="62" bestFit="1" customWidth="1"/>
    <col min="5" max="5" width="8.57421875" style="76" bestFit="1" customWidth="1"/>
    <col min="6" max="6" width="9.8515625" style="76" bestFit="1" customWidth="1"/>
    <col min="7" max="7" width="7.7109375" style="62" bestFit="1" customWidth="1"/>
    <col min="8" max="11" width="7.57421875" style="62" bestFit="1" customWidth="1"/>
    <col min="12" max="12" width="8.421875" style="62" bestFit="1" customWidth="1"/>
    <col min="13" max="13" width="8.140625" style="62" bestFit="1" customWidth="1"/>
    <col min="14" max="15" width="8.421875" style="62" bestFit="1" customWidth="1"/>
    <col min="16" max="16" width="7.7109375" style="62" bestFit="1" customWidth="1"/>
    <col min="17" max="17" width="9.7109375" style="62" bestFit="1" customWidth="1"/>
    <col min="18" max="19" width="9.7109375" style="76" bestFit="1" customWidth="1"/>
    <col min="20" max="24" width="7.57421875" style="62" bestFit="1" customWidth="1"/>
    <col min="25" max="25" width="8.140625" style="62" bestFit="1" customWidth="1"/>
    <col min="26" max="26" width="7.421875" style="62" customWidth="1"/>
    <col min="27" max="27" width="7.57421875" style="62" bestFit="1" customWidth="1"/>
    <col min="28" max="28" width="7.7109375" style="62" bestFit="1" customWidth="1"/>
    <col min="29" max="29" width="7.140625" style="62" bestFit="1" customWidth="1"/>
    <col min="30" max="30" width="9.7109375" style="62" bestFit="1" customWidth="1"/>
    <col min="31" max="16384" width="11.421875" style="62" customWidth="1"/>
  </cols>
  <sheetData>
    <row r="1" spans="1:30" ht="73.5" customHeight="1" thickBot="1" thickTop="1">
      <c r="A1" s="204" t="s">
        <v>0</v>
      </c>
      <c r="B1" s="198" t="s">
        <v>1</v>
      </c>
      <c r="C1" s="198" t="s">
        <v>217</v>
      </c>
      <c r="D1" s="222" t="s">
        <v>213</v>
      </c>
      <c r="E1" s="233" t="s">
        <v>38</v>
      </c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</row>
    <row r="2" spans="1:30" ht="15" customHeight="1">
      <c r="A2" s="205"/>
      <c r="B2" s="208"/>
      <c r="C2" s="199"/>
      <c r="D2" s="223"/>
      <c r="E2" s="212" t="s">
        <v>3</v>
      </c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12" t="s">
        <v>4</v>
      </c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13"/>
    </row>
    <row r="3" spans="1:30" ht="15" customHeight="1">
      <c r="A3" s="205"/>
      <c r="B3" s="208"/>
      <c r="C3" s="199"/>
      <c r="D3" s="223"/>
      <c r="E3" s="214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4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5"/>
    </row>
    <row r="4" spans="1:30" ht="15" customHeight="1">
      <c r="A4" s="205"/>
      <c r="B4" s="208"/>
      <c r="C4" s="199"/>
      <c r="D4" s="223"/>
      <c r="E4" s="214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4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5"/>
    </row>
    <row r="5" spans="1:30" ht="15" customHeight="1">
      <c r="A5" s="205"/>
      <c r="B5" s="208"/>
      <c r="C5" s="199"/>
      <c r="D5" s="223"/>
      <c r="E5" s="214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4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5"/>
    </row>
    <row r="6" spans="1:30" ht="15" customHeight="1">
      <c r="A6" s="205"/>
      <c r="B6" s="208"/>
      <c r="C6" s="199"/>
      <c r="D6" s="223"/>
      <c r="E6" s="214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4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5"/>
    </row>
    <row r="7" spans="1:30" ht="15" customHeight="1">
      <c r="A7" s="205"/>
      <c r="B7" s="208"/>
      <c r="C7" s="199"/>
      <c r="D7" s="223"/>
      <c r="E7" s="214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4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5"/>
    </row>
    <row r="8" spans="1:30" ht="15" customHeight="1">
      <c r="A8" s="205"/>
      <c r="B8" s="208"/>
      <c r="C8" s="199"/>
      <c r="D8" s="223"/>
      <c r="E8" s="214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4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5"/>
    </row>
    <row r="9" spans="1:30" ht="15.75" customHeight="1" thickBot="1">
      <c r="A9" s="205"/>
      <c r="B9" s="208"/>
      <c r="C9" s="199"/>
      <c r="D9" s="223"/>
      <c r="E9" s="216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6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7"/>
    </row>
    <row r="10" spans="1:30" ht="57.75" customHeight="1" thickBot="1">
      <c r="A10" s="206"/>
      <c r="B10" s="200"/>
      <c r="C10" s="199"/>
      <c r="D10" s="224"/>
      <c r="E10" s="202" t="s">
        <v>39</v>
      </c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1" t="s">
        <v>40</v>
      </c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3"/>
    </row>
    <row r="11" spans="1:30" ht="22.5" thickBot="1">
      <c r="A11" s="149"/>
      <c r="B11" s="149"/>
      <c r="C11" s="200"/>
      <c r="D11" s="140" t="s">
        <v>214</v>
      </c>
      <c r="E11" s="144" t="s">
        <v>9</v>
      </c>
      <c r="F11" s="144" t="s">
        <v>10</v>
      </c>
      <c r="G11" s="140" t="s">
        <v>11</v>
      </c>
      <c r="H11" s="140" t="s">
        <v>12</v>
      </c>
      <c r="I11" s="140" t="s">
        <v>13</v>
      </c>
      <c r="J11" s="140" t="s">
        <v>14</v>
      </c>
      <c r="K11" s="140" t="s">
        <v>15</v>
      </c>
      <c r="L11" s="140" t="s">
        <v>16</v>
      </c>
      <c r="M11" s="140" t="s">
        <v>17</v>
      </c>
      <c r="N11" s="140" t="s">
        <v>18</v>
      </c>
      <c r="O11" s="140" t="s">
        <v>19</v>
      </c>
      <c r="P11" s="140" t="s">
        <v>20</v>
      </c>
      <c r="Q11" s="140" t="s">
        <v>21</v>
      </c>
      <c r="R11" s="144" t="s">
        <v>9</v>
      </c>
      <c r="S11" s="144" t="s">
        <v>10</v>
      </c>
      <c r="T11" s="140" t="s">
        <v>11</v>
      </c>
      <c r="U11" s="140" t="s">
        <v>12</v>
      </c>
      <c r="V11" s="140" t="s">
        <v>13</v>
      </c>
      <c r="W11" s="140" t="s">
        <v>14</v>
      </c>
      <c r="X11" s="140" t="s">
        <v>15</v>
      </c>
      <c r="Y11" s="140" t="s">
        <v>16</v>
      </c>
      <c r="Z11" s="140" t="s">
        <v>17</v>
      </c>
      <c r="AA11" s="140" t="s">
        <v>18</v>
      </c>
      <c r="AB11" s="140" t="s">
        <v>19</v>
      </c>
      <c r="AC11" s="140" t="s">
        <v>20</v>
      </c>
      <c r="AD11" s="140" t="s">
        <v>21</v>
      </c>
    </row>
    <row r="12" spans="1:30" ht="15.75" customHeight="1" thickBot="1">
      <c r="A12" s="1" t="s">
        <v>78</v>
      </c>
      <c r="B12" s="103" t="s">
        <v>65</v>
      </c>
      <c r="C12" s="63"/>
      <c r="D12" s="63"/>
      <c r="E12" s="121">
        <v>42</v>
      </c>
      <c r="F12" s="121">
        <v>30</v>
      </c>
      <c r="G12" s="101"/>
      <c r="H12" s="101"/>
      <c r="I12" s="101"/>
      <c r="J12" s="101"/>
      <c r="K12" s="101"/>
      <c r="L12" s="109"/>
      <c r="M12" s="109"/>
      <c r="N12" s="109"/>
      <c r="O12" s="109"/>
      <c r="Q12" s="6">
        <f aca="true" t="shared" si="0" ref="Q12:Q24">SUM(E12:P12)</f>
        <v>72</v>
      </c>
      <c r="R12" s="121">
        <v>45</v>
      </c>
      <c r="S12" s="121">
        <v>34</v>
      </c>
      <c r="T12" s="101"/>
      <c r="U12" s="101"/>
      <c r="V12" s="101"/>
      <c r="W12" s="101"/>
      <c r="X12" s="101"/>
      <c r="Y12" s="109"/>
      <c r="Z12" s="109"/>
      <c r="AA12" s="109"/>
      <c r="AB12" s="109"/>
      <c r="AD12" s="6">
        <f aca="true" t="shared" si="1" ref="AD12:AD60">SUM(R12:AC12)</f>
        <v>79</v>
      </c>
    </row>
    <row r="13" spans="1:30" ht="15.75" customHeight="1" thickBot="1">
      <c r="A13" s="1" t="s">
        <v>78</v>
      </c>
      <c r="B13" s="103" t="s">
        <v>66</v>
      </c>
      <c r="C13" s="63"/>
      <c r="D13" s="63"/>
      <c r="E13" s="121">
        <v>37</v>
      </c>
      <c r="F13" s="121">
        <v>29</v>
      </c>
      <c r="G13" s="101"/>
      <c r="H13" s="101"/>
      <c r="I13" s="101"/>
      <c r="J13" s="101"/>
      <c r="K13" s="101"/>
      <c r="L13" s="109"/>
      <c r="M13" s="109"/>
      <c r="N13" s="109"/>
      <c r="O13" s="109"/>
      <c r="Q13" s="6">
        <f t="shared" si="0"/>
        <v>66</v>
      </c>
      <c r="R13" s="121">
        <v>42</v>
      </c>
      <c r="S13" s="121">
        <v>33</v>
      </c>
      <c r="T13" s="101"/>
      <c r="U13" s="101"/>
      <c r="V13" s="101"/>
      <c r="W13" s="101"/>
      <c r="X13" s="101"/>
      <c r="Y13" s="109"/>
      <c r="Z13" s="109"/>
      <c r="AA13" s="109"/>
      <c r="AB13" s="109"/>
      <c r="AD13" s="6">
        <f t="shared" si="1"/>
        <v>75</v>
      </c>
    </row>
    <row r="14" spans="1:30" ht="15.75" customHeight="1" thickBot="1">
      <c r="A14" s="1" t="s">
        <v>78</v>
      </c>
      <c r="B14" s="103" t="s">
        <v>67</v>
      </c>
      <c r="C14" s="63"/>
      <c r="D14" s="63"/>
      <c r="E14" s="121">
        <v>39</v>
      </c>
      <c r="F14" s="121">
        <v>24</v>
      </c>
      <c r="G14" s="101"/>
      <c r="H14" s="101"/>
      <c r="I14" s="101"/>
      <c r="J14" s="101"/>
      <c r="K14" s="101"/>
      <c r="L14" s="109"/>
      <c r="M14" s="109"/>
      <c r="N14" s="109"/>
      <c r="O14" s="109"/>
      <c r="Q14" s="6">
        <f t="shared" si="0"/>
        <v>63</v>
      </c>
      <c r="R14" s="121">
        <v>44</v>
      </c>
      <c r="S14" s="121">
        <v>27</v>
      </c>
      <c r="T14" s="101"/>
      <c r="U14" s="101"/>
      <c r="V14" s="101"/>
      <c r="W14" s="101"/>
      <c r="X14" s="101"/>
      <c r="Y14" s="109"/>
      <c r="Z14" s="109"/>
      <c r="AA14" s="109"/>
      <c r="AB14" s="109"/>
      <c r="AD14" s="6">
        <f t="shared" si="1"/>
        <v>71</v>
      </c>
    </row>
    <row r="15" spans="1:30" ht="15.75" customHeight="1" thickBot="1">
      <c r="A15" s="1" t="s">
        <v>78</v>
      </c>
      <c r="B15" s="103" t="s">
        <v>68</v>
      </c>
      <c r="C15" s="63"/>
      <c r="D15" s="63"/>
      <c r="E15" s="121">
        <v>50</v>
      </c>
      <c r="F15" s="121">
        <v>40</v>
      </c>
      <c r="G15" s="101"/>
      <c r="H15" s="101"/>
      <c r="I15" s="101"/>
      <c r="J15" s="101"/>
      <c r="K15" s="101"/>
      <c r="L15" s="109"/>
      <c r="M15" s="109"/>
      <c r="N15" s="109"/>
      <c r="O15" s="109"/>
      <c r="Q15" s="6">
        <f t="shared" si="0"/>
        <v>90</v>
      </c>
      <c r="R15" s="121">
        <v>53</v>
      </c>
      <c r="S15" s="121">
        <v>42</v>
      </c>
      <c r="T15" s="101"/>
      <c r="U15" s="101"/>
      <c r="V15" s="101"/>
      <c r="W15" s="101"/>
      <c r="X15" s="101"/>
      <c r="Y15" s="109"/>
      <c r="Z15" s="109"/>
      <c r="AA15" s="109"/>
      <c r="AB15" s="109"/>
      <c r="AD15" s="6">
        <f t="shared" si="1"/>
        <v>95</v>
      </c>
    </row>
    <row r="16" spans="1:30" ht="15.75" customHeight="1" thickBot="1">
      <c r="A16" s="1" t="s">
        <v>78</v>
      </c>
      <c r="B16" s="103" t="s">
        <v>69</v>
      </c>
      <c r="C16" s="66"/>
      <c r="D16" s="63"/>
      <c r="E16" s="121">
        <v>26</v>
      </c>
      <c r="F16" s="121">
        <v>36</v>
      </c>
      <c r="G16" s="101"/>
      <c r="H16" s="101"/>
      <c r="I16" s="101"/>
      <c r="J16" s="101"/>
      <c r="K16" s="101"/>
      <c r="L16" s="109"/>
      <c r="M16" s="109"/>
      <c r="N16" s="109"/>
      <c r="O16" s="109"/>
      <c r="Q16" s="6">
        <f t="shared" si="0"/>
        <v>62</v>
      </c>
      <c r="R16" s="121">
        <v>29</v>
      </c>
      <c r="S16" s="121">
        <v>40</v>
      </c>
      <c r="T16" s="101"/>
      <c r="U16" s="101"/>
      <c r="V16" s="101"/>
      <c r="W16" s="101"/>
      <c r="X16" s="101"/>
      <c r="Y16" s="109"/>
      <c r="Z16" s="109"/>
      <c r="AA16" s="109"/>
      <c r="AB16" s="109"/>
      <c r="AD16" s="6">
        <f t="shared" si="1"/>
        <v>69</v>
      </c>
    </row>
    <row r="17" spans="1:30" ht="15.75" customHeight="1" thickBot="1">
      <c r="A17" s="1" t="s">
        <v>78</v>
      </c>
      <c r="B17" s="103" t="s">
        <v>70</v>
      </c>
      <c r="C17" s="63"/>
      <c r="D17" s="63"/>
      <c r="E17" s="121">
        <v>32</v>
      </c>
      <c r="F17" s="121">
        <v>32</v>
      </c>
      <c r="G17" s="101"/>
      <c r="H17" s="101"/>
      <c r="I17" s="101"/>
      <c r="J17" s="101"/>
      <c r="K17" s="101"/>
      <c r="L17" s="109"/>
      <c r="M17" s="109"/>
      <c r="N17" s="109"/>
      <c r="O17" s="109"/>
      <c r="Q17" s="6">
        <f t="shared" si="0"/>
        <v>64</v>
      </c>
      <c r="R17" s="121">
        <v>41</v>
      </c>
      <c r="S17" s="121">
        <v>32</v>
      </c>
      <c r="T17" s="101"/>
      <c r="U17" s="101"/>
      <c r="V17" s="101"/>
      <c r="W17" s="101"/>
      <c r="X17" s="101"/>
      <c r="Y17" s="109"/>
      <c r="Z17" s="109"/>
      <c r="AA17" s="109"/>
      <c r="AB17" s="109"/>
      <c r="AD17" s="6">
        <f t="shared" si="1"/>
        <v>73</v>
      </c>
    </row>
    <row r="18" spans="1:30" ht="15.75" customHeight="1" thickBot="1">
      <c r="A18" s="1" t="s">
        <v>78</v>
      </c>
      <c r="B18" s="103" t="s">
        <v>71</v>
      </c>
      <c r="C18" s="63"/>
      <c r="D18" s="63"/>
      <c r="E18" s="121">
        <v>5</v>
      </c>
      <c r="F18" s="121">
        <v>2</v>
      </c>
      <c r="G18" s="101"/>
      <c r="H18" s="101"/>
      <c r="I18" s="101"/>
      <c r="J18" s="101"/>
      <c r="K18" s="101"/>
      <c r="L18" s="109"/>
      <c r="M18" s="109"/>
      <c r="N18" s="109"/>
      <c r="O18" s="109"/>
      <c r="Q18" s="6">
        <f t="shared" si="0"/>
        <v>7</v>
      </c>
      <c r="R18" s="121">
        <v>5</v>
      </c>
      <c r="S18" s="121">
        <v>3</v>
      </c>
      <c r="T18" s="101"/>
      <c r="U18" s="101"/>
      <c r="V18" s="101"/>
      <c r="W18" s="101"/>
      <c r="X18" s="101"/>
      <c r="Y18" s="109"/>
      <c r="Z18" s="109"/>
      <c r="AA18" s="109"/>
      <c r="AB18" s="109"/>
      <c r="AD18" s="6">
        <f t="shared" si="1"/>
        <v>8</v>
      </c>
    </row>
    <row r="19" spans="1:30" ht="15.75" customHeight="1" thickBot="1">
      <c r="A19" s="1" t="s">
        <v>78</v>
      </c>
      <c r="B19" s="103" t="s">
        <v>72</v>
      </c>
      <c r="C19" s="63"/>
      <c r="D19" s="63"/>
      <c r="E19" s="121">
        <v>1</v>
      </c>
      <c r="F19" s="121"/>
      <c r="G19" s="101"/>
      <c r="H19" s="101"/>
      <c r="I19" s="101"/>
      <c r="J19" s="101"/>
      <c r="K19" s="101"/>
      <c r="L19" s="109"/>
      <c r="M19" s="109"/>
      <c r="N19" s="109"/>
      <c r="O19" s="109"/>
      <c r="Q19" s="6">
        <f t="shared" si="0"/>
        <v>1</v>
      </c>
      <c r="R19" s="121">
        <v>1</v>
      </c>
      <c r="S19" s="121"/>
      <c r="T19" s="101"/>
      <c r="U19" s="101"/>
      <c r="V19" s="101"/>
      <c r="W19" s="101"/>
      <c r="X19" s="101"/>
      <c r="Y19" s="109"/>
      <c r="Z19" s="109"/>
      <c r="AA19" s="109"/>
      <c r="AB19" s="109"/>
      <c r="AD19" s="6">
        <f t="shared" si="1"/>
        <v>1</v>
      </c>
    </row>
    <row r="20" spans="1:30" ht="15.75" customHeight="1" thickBot="1">
      <c r="A20" s="1" t="s">
        <v>78</v>
      </c>
      <c r="B20" s="103" t="s">
        <v>73</v>
      </c>
      <c r="C20" s="63"/>
      <c r="D20" s="63"/>
      <c r="E20" s="121"/>
      <c r="F20" s="121"/>
      <c r="G20" s="101"/>
      <c r="H20" s="101"/>
      <c r="I20" s="101"/>
      <c r="J20" s="101"/>
      <c r="K20" s="101"/>
      <c r="L20" s="109"/>
      <c r="M20" s="109"/>
      <c r="N20" s="109"/>
      <c r="O20" s="109"/>
      <c r="Q20" s="6">
        <f t="shared" si="0"/>
        <v>0</v>
      </c>
      <c r="R20" s="121"/>
      <c r="S20" s="121"/>
      <c r="T20" s="101"/>
      <c r="U20" s="101"/>
      <c r="V20" s="101"/>
      <c r="W20" s="101"/>
      <c r="X20" s="101"/>
      <c r="Y20" s="109"/>
      <c r="Z20" s="109"/>
      <c r="AA20" s="109"/>
      <c r="AB20" s="109"/>
      <c r="AD20" s="6">
        <f t="shared" si="1"/>
        <v>0</v>
      </c>
    </row>
    <row r="21" spans="1:30" ht="15.75" customHeight="1" thickBot="1">
      <c r="A21" s="1" t="s">
        <v>78</v>
      </c>
      <c r="B21" s="103" t="s">
        <v>74</v>
      </c>
      <c r="C21" s="67"/>
      <c r="D21" s="63"/>
      <c r="E21" s="121">
        <v>2</v>
      </c>
      <c r="F21" s="121">
        <v>3</v>
      </c>
      <c r="G21" s="101"/>
      <c r="H21" s="101"/>
      <c r="I21" s="101"/>
      <c r="J21" s="101"/>
      <c r="K21" s="101"/>
      <c r="L21" s="109"/>
      <c r="M21" s="109"/>
      <c r="N21" s="109"/>
      <c r="O21" s="109"/>
      <c r="Q21" s="6">
        <f t="shared" si="0"/>
        <v>5</v>
      </c>
      <c r="R21" s="121">
        <v>3</v>
      </c>
      <c r="S21" s="121">
        <v>3</v>
      </c>
      <c r="T21" s="101"/>
      <c r="U21" s="101"/>
      <c r="V21" s="101"/>
      <c r="W21" s="101"/>
      <c r="X21" s="101"/>
      <c r="Y21" s="109"/>
      <c r="Z21" s="109"/>
      <c r="AA21" s="109"/>
      <c r="AB21" s="109"/>
      <c r="AD21" s="6">
        <f t="shared" si="1"/>
        <v>6</v>
      </c>
    </row>
    <row r="22" spans="1:30" ht="15.75" customHeight="1" thickBot="1">
      <c r="A22" s="1" t="s">
        <v>78</v>
      </c>
      <c r="B22" s="103" t="s">
        <v>75</v>
      </c>
      <c r="C22" s="63"/>
      <c r="D22" s="63"/>
      <c r="E22" s="121">
        <v>5</v>
      </c>
      <c r="F22" s="121">
        <v>4</v>
      </c>
      <c r="G22" s="101"/>
      <c r="H22" s="101"/>
      <c r="I22" s="101"/>
      <c r="J22" s="101"/>
      <c r="K22" s="101"/>
      <c r="L22" s="109"/>
      <c r="M22" s="109"/>
      <c r="N22" s="109"/>
      <c r="O22" s="109"/>
      <c r="Q22" s="6">
        <f t="shared" si="0"/>
        <v>9</v>
      </c>
      <c r="R22" s="121">
        <v>5</v>
      </c>
      <c r="S22" s="121">
        <v>4</v>
      </c>
      <c r="T22" s="101"/>
      <c r="U22" s="101"/>
      <c r="V22" s="101"/>
      <c r="W22" s="101"/>
      <c r="X22" s="101"/>
      <c r="Y22" s="109"/>
      <c r="Z22" s="109"/>
      <c r="AA22" s="109"/>
      <c r="AB22" s="109"/>
      <c r="AD22" s="6">
        <f t="shared" si="1"/>
        <v>9</v>
      </c>
    </row>
    <row r="23" spans="1:30" ht="15.75" customHeight="1" thickBot="1">
      <c r="A23" s="1" t="s">
        <v>78</v>
      </c>
      <c r="B23" s="103" t="s">
        <v>76</v>
      </c>
      <c r="C23" s="63"/>
      <c r="D23" s="63"/>
      <c r="E23" s="121">
        <v>1</v>
      </c>
      <c r="F23" s="121">
        <v>1</v>
      </c>
      <c r="G23" s="101"/>
      <c r="H23" s="101"/>
      <c r="I23" s="101"/>
      <c r="J23" s="101"/>
      <c r="K23" s="101"/>
      <c r="L23" s="109"/>
      <c r="M23" s="109"/>
      <c r="N23" s="109"/>
      <c r="O23" s="109"/>
      <c r="Q23" s="6">
        <f t="shared" si="0"/>
        <v>2</v>
      </c>
      <c r="R23" s="121">
        <v>1</v>
      </c>
      <c r="S23" s="121">
        <v>1</v>
      </c>
      <c r="T23" s="101"/>
      <c r="U23" s="101"/>
      <c r="V23" s="101"/>
      <c r="W23" s="101"/>
      <c r="X23" s="101"/>
      <c r="Y23" s="109"/>
      <c r="Z23" s="109"/>
      <c r="AA23" s="109"/>
      <c r="AB23" s="109"/>
      <c r="AD23" s="6">
        <f t="shared" si="1"/>
        <v>2</v>
      </c>
    </row>
    <row r="24" spans="1:30" ht="15.75" customHeight="1" thickBot="1">
      <c r="A24" s="1" t="s">
        <v>78</v>
      </c>
      <c r="B24" s="103" t="s">
        <v>77</v>
      </c>
      <c r="C24" s="63"/>
      <c r="D24" s="63"/>
      <c r="E24" s="121">
        <v>2</v>
      </c>
      <c r="F24" s="121">
        <v>3</v>
      </c>
      <c r="G24" s="101"/>
      <c r="H24" s="101"/>
      <c r="I24" s="101"/>
      <c r="J24" s="101"/>
      <c r="K24" s="101"/>
      <c r="L24" s="109"/>
      <c r="M24" s="109"/>
      <c r="N24" s="109"/>
      <c r="O24" s="109"/>
      <c r="Q24" s="6">
        <f t="shared" si="0"/>
        <v>5</v>
      </c>
      <c r="R24" s="121">
        <v>2</v>
      </c>
      <c r="S24" s="121">
        <v>3</v>
      </c>
      <c r="T24" s="101"/>
      <c r="U24" s="101"/>
      <c r="V24" s="101"/>
      <c r="W24" s="101"/>
      <c r="X24" s="101"/>
      <c r="Y24" s="109"/>
      <c r="Z24" s="109"/>
      <c r="AA24" s="109"/>
      <c r="AB24" s="109"/>
      <c r="AD24" s="6">
        <f t="shared" si="1"/>
        <v>5</v>
      </c>
    </row>
    <row r="25" spans="1:31" s="65" customFormat="1" ht="15" thickBot="1">
      <c r="A25" s="196" t="s">
        <v>200</v>
      </c>
      <c r="B25" s="197"/>
      <c r="C25" s="45">
        <f>+D25/Metas!J30</f>
        <v>1.0164778813501378</v>
      </c>
      <c r="D25" s="19">
        <f>+Q25/AD25</f>
        <v>0.9046653144016227</v>
      </c>
      <c r="E25" s="82">
        <f>SUM(E12:E24)</f>
        <v>242</v>
      </c>
      <c r="F25" s="82">
        <f aca="true" t="shared" si="2" ref="F25:P25">SUM(F12:F24)</f>
        <v>204</v>
      </c>
      <c r="G25" s="75">
        <f t="shared" si="2"/>
        <v>0</v>
      </c>
      <c r="H25" s="75">
        <f t="shared" si="2"/>
        <v>0</v>
      </c>
      <c r="I25" s="75">
        <f t="shared" si="2"/>
        <v>0</v>
      </c>
      <c r="J25" s="75">
        <f t="shared" si="2"/>
        <v>0</v>
      </c>
      <c r="K25" s="75">
        <f t="shared" si="2"/>
        <v>0</v>
      </c>
      <c r="L25" s="75">
        <f t="shared" si="2"/>
        <v>0</v>
      </c>
      <c r="M25" s="75">
        <f t="shared" si="2"/>
        <v>0</v>
      </c>
      <c r="N25" s="75">
        <f t="shared" si="2"/>
        <v>0</v>
      </c>
      <c r="O25" s="75">
        <f t="shared" si="2"/>
        <v>0</v>
      </c>
      <c r="P25" s="75">
        <f t="shared" si="2"/>
        <v>0</v>
      </c>
      <c r="Q25" s="14">
        <f>SUM(Q12:Q24)</f>
        <v>446</v>
      </c>
      <c r="R25" s="82">
        <f aca="true" t="shared" si="3" ref="R25:AD25">SUM(R12:R24)</f>
        <v>271</v>
      </c>
      <c r="S25" s="82">
        <f t="shared" si="3"/>
        <v>222</v>
      </c>
      <c r="T25" s="75">
        <f t="shared" si="3"/>
        <v>0</v>
      </c>
      <c r="U25" s="75">
        <f t="shared" si="3"/>
        <v>0</v>
      </c>
      <c r="V25" s="75">
        <f t="shared" si="3"/>
        <v>0</v>
      </c>
      <c r="W25" s="75">
        <f t="shared" si="3"/>
        <v>0</v>
      </c>
      <c r="X25" s="75">
        <f t="shared" si="3"/>
        <v>0</v>
      </c>
      <c r="Y25" s="75">
        <f t="shared" si="3"/>
        <v>0</v>
      </c>
      <c r="Z25" s="75">
        <f t="shared" si="3"/>
        <v>0</v>
      </c>
      <c r="AA25" s="75">
        <f t="shared" si="3"/>
        <v>0</v>
      </c>
      <c r="AB25" s="75">
        <f t="shared" si="3"/>
        <v>0</v>
      </c>
      <c r="AC25" s="75">
        <f t="shared" si="3"/>
        <v>0</v>
      </c>
      <c r="AD25" s="14">
        <f t="shared" si="3"/>
        <v>493</v>
      </c>
      <c r="AE25" s="69"/>
    </row>
    <row r="26" spans="1:30" ht="15" thickBot="1">
      <c r="A26" s="1" t="s">
        <v>79</v>
      </c>
      <c r="B26" s="103" t="s">
        <v>80</v>
      </c>
      <c r="C26" s="63"/>
      <c r="D26" s="63"/>
      <c r="E26" s="121">
        <v>30</v>
      </c>
      <c r="F26" s="121">
        <v>34</v>
      </c>
      <c r="G26" s="101"/>
      <c r="H26" s="101"/>
      <c r="I26" s="101"/>
      <c r="J26" s="101"/>
      <c r="K26" s="101"/>
      <c r="L26" s="109"/>
      <c r="M26" s="109"/>
      <c r="N26" s="109"/>
      <c r="O26" s="109"/>
      <c r="Q26" s="6">
        <f aca="true" t="shared" si="4" ref="Q26:Q35">SUM(E26:P26)</f>
        <v>64</v>
      </c>
      <c r="R26" s="121">
        <v>42</v>
      </c>
      <c r="S26" s="121">
        <v>45</v>
      </c>
      <c r="T26" s="101"/>
      <c r="U26" s="101"/>
      <c r="V26" s="101"/>
      <c r="W26" s="101"/>
      <c r="X26" s="101"/>
      <c r="Y26" s="109"/>
      <c r="Z26" s="109"/>
      <c r="AA26" s="109"/>
      <c r="AB26" s="109"/>
      <c r="AD26" s="6">
        <f t="shared" si="1"/>
        <v>87</v>
      </c>
    </row>
    <row r="27" spans="1:30" ht="15" thickBot="1">
      <c r="A27" s="1" t="s">
        <v>79</v>
      </c>
      <c r="B27" s="103" t="s">
        <v>81</v>
      </c>
      <c r="C27" s="63"/>
      <c r="D27" s="63"/>
      <c r="E27" s="121">
        <v>42</v>
      </c>
      <c r="F27" s="121">
        <v>32</v>
      </c>
      <c r="G27" s="101"/>
      <c r="H27" s="101"/>
      <c r="I27" s="101"/>
      <c r="J27" s="101"/>
      <c r="K27" s="101"/>
      <c r="L27" s="109"/>
      <c r="M27" s="109"/>
      <c r="N27" s="109"/>
      <c r="O27" s="109"/>
      <c r="Q27" s="6">
        <f t="shared" si="4"/>
        <v>74</v>
      </c>
      <c r="R27" s="121">
        <v>50</v>
      </c>
      <c r="S27" s="121">
        <v>39</v>
      </c>
      <c r="T27" s="101"/>
      <c r="U27" s="101"/>
      <c r="V27" s="101"/>
      <c r="W27" s="101"/>
      <c r="X27" s="101"/>
      <c r="Y27" s="109"/>
      <c r="Z27" s="109"/>
      <c r="AA27" s="109"/>
      <c r="AB27" s="109"/>
      <c r="AD27" s="6">
        <f t="shared" si="1"/>
        <v>89</v>
      </c>
    </row>
    <row r="28" spans="1:30" ht="15" thickBot="1">
      <c r="A28" s="1" t="s">
        <v>79</v>
      </c>
      <c r="B28" s="103" t="s">
        <v>82</v>
      </c>
      <c r="C28" s="63"/>
      <c r="D28" s="63"/>
      <c r="E28" s="121">
        <v>38</v>
      </c>
      <c r="F28" s="121">
        <v>56</v>
      </c>
      <c r="G28" s="101"/>
      <c r="H28" s="101"/>
      <c r="I28" s="101"/>
      <c r="J28" s="101"/>
      <c r="K28" s="101"/>
      <c r="L28" s="109"/>
      <c r="M28" s="109"/>
      <c r="N28" s="109"/>
      <c r="O28" s="109"/>
      <c r="Q28" s="6">
        <f t="shared" si="4"/>
        <v>94</v>
      </c>
      <c r="R28" s="121">
        <v>49</v>
      </c>
      <c r="S28" s="121">
        <v>65</v>
      </c>
      <c r="T28" s="101"/>
      <c r="U28" s="101"/>
      <c r="V28" s="101"/>
      <c r="W28" s="101"/>
      <c r="X28" s="101"/>
      <c r="Y28" s="109"/>
      <c r="Z28" s="109"/>
      <c r="AA28" s="109"/>
      <c r="AB28" s="109"/>
      <c r="AD28" s="6">
        <f t="shared" si="1"/>
        <v>114</v>
      </c>
    </row>
    <row r="29" spans="1:30" ht="15" thickBot="1">
      <c r="A29" s="1" t="s">
        <v>79</v>
      </c>
      <c r="B29" s="103" t="s">
        <v>83</v>
      </c>
      <c r="C29" s="63"/>
      <c r="D29" s="63"/>
      <c r="E29" s="121">
        <v>12</v>
      </c>
      <c r="F29" s="121">
        <v>5</v>
      </c>
      <c r="G29" s="101"/>
      <c r="H29" s="101"/>
      <c r="I29" s="101"/>
      <c r="J29" s="101"/>
      <c r="K29" s="101"/>
      <c r="L29" s="109"/>
      <c r="M29" s="109"/>
      <c r="N29" s="109"/>
      <c r="O29" s="109"/>
      <c r="Q29" s="6">
        <f t="shared" si="4"/>
        <v>17</v>
      </c>
      <c r="R29" s="121">
        <v>15</v>
      </c>
      <c r="S29" s="121">
        <v>6</v>
      </c>
      <c r="T29" s="101"/>
      <c r="U29" s="101"/>
      <c r="V29" s="101"/>
      <c r="W29" s="101"/>
      <c r="X29" s="101"/>
      <c r="Y29" s="109"/>
      <c r="Z29" s="109"/>
      <c r="AA29" s="109"/>
      <c r="AB29" s="109"/>
      <c r="AD29" s="6">
        <f t="shared" si="1"/>
        <v>21</v>
      </c>
    </row>
    <row r="30" spans="1:30" ht="15" thickBot="1">
      <c r="A30" s="1" t="s">
        <v>79</v>
      </c>
      <c r="B30" s="103" t="s">
        <v>84</v>
      </c>
      <c r="C30" s="63"/>
      <c r="D30" s="63"/>
      <c r="E30" s="121">
        <v>48</v>
      </c>
      <c r="F30" s="121">
        <v>36</v>
      </c>
      <c r="G30" s="101"/>
      <c r="H30" s="101"/>
      <c r="I30" s="101"/>
      <c r="J30" s="101"/>
      <c r="K30" s="101"/>
      <c r="L30" s="109"/>
      <c r="M30" s="109"/>
      <c r="N30" s="109"/>
      <c r="O30" s="109"/>
      <c r="Q30" s="6">
        <f t="shared" si="4"/>
        <v>84</v>
      </c>
      <c r="R30" s="121">
        <v>60</v>
      </c>
      <c r="S30" s="121">
        <v>47</v>
      </c>
      <c r="T30" s="101"/>
      <c r="U30" s="101"/>
      <c r="V30" s="101"/>
      <c r="W30" s="101"/>
      <c r="X30" s="101"/>
      <c r="Y30" s="109"/>
      <c r="Z30" s="109"/>
      <c r="AA30" s="109"/>
      <c r="AB30" s="109"/>
      <c r="AD30" s="6">
        <f t="shared" si="1"/>
        <v>107</v>
      </c>
    </row>
    <row r="31" spans="1:30" ht="15" thickBot="1">
      <c r="A31" s="1" t="s">
        <v>79</v>
      </c>
      <c r="B31" s="103" t="s">
        <v>85</v>
      </c>
      <c r="C31" s="63"/>
      <c r="D31" s="63"/>
      <c r="E31" s="121">
        <v>4</v>
      </c>
      <c r="F31" s="121"/>
      <c r="G31" s="101"/>
      <c r="H31" s="101"/>
      <c r="I31" s="101"/>
      <c r="J31" s="101"/>
      <c r="K31" s="101"/>
      <c r="L31" s="109"/>
      <c r="M31" s="109"/>
      <c r="N31" s="109"/>
      <c r="O31" s="109"/>
      <c r="Q31" s="6">
        <f t="shared" si="4"/>
        <v>4</v>
      </c>
      <c r="R31" s="121">
        <v>4</v>
      </c>
      <c r="S31" s="121"/>
      <c r="T31" s="101"/>
      <c r="U31" s="101"/>
      <c r="V31" s="101"/>
      <c r="W31" s="101"/>
      <c r="X31" s="101"/>
      <c r="Y31" s="109"/>
      <c r="Z31" s="109"/>
      <c r="AA31" s="109"/>
      <c r="AB31" s="109"/>
      <c r="AD31" s="6">
        <f t="shared" si="1"/>
        <v>4</v>
      </c>
    </row>
    <row r="32" spans="1:30" ht="15" thickBot="1">
      <c r="A32" s="1" t="s">
        <v>79</v>
      </c>
      <c r="B32" s="103" t="s">
        <v>86</v>
      </c>
      <c r="C32" s="63"/>
      <c r="D32" s="63"/>
      <c r="E32" s="121">
        <v>2</v>
      </c>
      <c r="F32" s="121">
        <v>2</v>
      </c>
      <c r="G32" s="101"/>
      <c r="H32" s="101"/>
      <c r="I32" s="101"/>
      <c r="J32" s="101"/>
      <c r="K32" s="101"/>
      <c r="L32" s="109"/>
      <c r="M32" s="109"/>
      <c r="N32" s="109"/>
      <c r="O32" s="109"/>
      <c r="Q32" s="6">
        <f t="shared" si="4"/>
        <v>4</v>
      </c>
      <c r="R32" s="121">
        <v>2</v>
      </c>
      <c r="S32" s="121">
        <v>2</v>
      </c>
      <c r="T32" s="101"/>
      <c r="U32" s="101"/>
      <c r="V32" s="101"/>
      <c r="W32" s="101"/>
      <c r="X32" s="101"/>
      <c r="Y32" s="109"/>
      <c r="Z32" s="109"/>
      <c r="AA32" s="109"/>
      <c r="AB32" s="109"/>
      <c r="AD32" s="6">
        <f t="shared" si="1"/>
        <v>4</v>
      </c>
    </row>
    <row r="33" spans="1:30" ht="15" thickBot="1">
      <c r="A33" s="1" t="s">
        <v>79</v>
      </c>
      <c r="B33" s="103" t="s">
        <v>87</v>
      </c>
      <c r="C33" s="63"/>
      <c r="D33" s="63"/>
      <c r="E33" s="121">
        <v>9</v>
      </c>
      <c r="F33" s="121">
        <v>11</v>
      </c>
      <c r="G33" s="101"/>
      <c r="H33" s="101"/>
      <c r="I33" s="101"/>
      <c r="J33" s="101"/>
      <c r="K33" s="101"/>
      <c r="L33" s="109"/>
      <c r="M33" s="109"/>
      <c r="N33" s="109"/>
      <c r="O33" s="109"/>
      <c r="Q33" s="6">
        <f t="shared" si="4"/>
        <v>20</v>
      </c>
      <c r="R33" s="121">
        <v>9</v>
      </c>
      <c r="S33" s="121">
        <v>14</v>
      </c>
      <c r="T33" s="101"/>
      <c r="U33" s="101"/>
      <c r="V33" s="101"/>
      <c r="W33" s="101"/>
      <c r="X33" s="101"/>
      <c r="Y33" s="109"/>
      <c r="Z33" s="109"/>
      <c r="AA33" s="109"/>
      <c r="AB33" s="109"/>
      <c r="AD33" s="6">
        <f t="shared" si="1"/>
        <v>23</v>
      </c>
    </row>
    <row r="34" spans="1:30" ht="15" thickBot="1">
      <c r="A34" s="1" t="s">
        <v>79</v>
      </c>
      <c r="B34" s="103" t="s">
        <v>88</v>
      </c>
      <c r="C34" s="63"/>
      <c r="D34" s="63"/>
      <c r="E34" s="121"/>
      <c r="F34" s="121">
        <v>2</v>
      </c>
      <c r="G34" s="101"/>
      <c r="H34" s="101"/>
      <c r="I34" s="101"/>
      <c r="J34" s="101"/>
      <c r="K34" s="101"/>
      <c r="L34" s="109"/>
      <c r="M34" s="109"/>
      <c r="N34" s="109"/>
      <c r="O34" s="109"/>
      <c r="Q34" s="6">
        <f t="shared" si="4"/>
        <v>2</v>
      </c>
      <c r="R34" s="121"/>
      <c r="S34" s="121">
        <v>2</v>
      </c>
      <c r="T34" s="101"/>
      <c r="U34" s="101"/>
      <c r="V34" s="101"/>
      <c r="W34" s="101"/>
      <c r="X34" s="101"/>
      <c r="Y34" s="109"/>
      <c r="Z34" s="109"/>
      <c r="AA34" s="109"/>
      <c r="AB34" s="109"/>
      <c r="AD34" s="6">
        <f t="shared" si="1"/>
        <v>2</v>
      </c>
    </row>
    <row r="35" spans="1:30" ht="15" thickBot="1">
      <c r="A35" s="1" t="s">
        <v>79</v>
      </c>
      <c r="B35" s="103" t="s">
        <v>89</v>
      </c>
      <c r="C35" s="63"/>
      <c r="D35" s="63"/>
      <c r="E35" s="121">
        <v>4</v>
      </c>
      <c r="F35" s="121">
        <v>1</v>
      </c>
      <c r="G35" s="101"/>
      <c r="H35" s="101"/>
      <c r="I35" s="101"/>
      <c r="J35" s="101"/>
      <c r="K35" s="101"/>
      <c r="L35" s="109"/>
      <c r="M35" s="109"/>
      <c r="N35" s="109"/>
      <c r="O35" s="109"/>
      <c r="Q35" s="6">
        <f t="shared" si="4"/>
        <v>5</v>
      </c>
      <c r="R35" s="121">
        <v>5</v>
      </c>
      <c r="S35" s="121">
        <v>1</v>
      </c>
      <c r="T35" s="101"/>
      <c r="U35" s="101"/>
      <c r="V35" s="101"/>
      <c r="W35" s="101"/>
      <c r="X35" s="101"/>
      <c r="Y35" s="109"/>
      <c r="Z35" s="109"/>
      <c r="AA35" s="109"/>
      <c r="AB35" s="109"/>
      <c r="AD35" s="6">
        <f t="shared" si="1"/>
        <v>6</v>
      </c>
    </row>
    <row r="36" spans="1:31" s="65" customFormat="1" ht="15" thickBot="1">
      <c r="A36" s="196" t="s">
        <v>201</v>
      </c>
      <c r="B36" s="197"/>
      <c r="C36" s="45">
        <f>+D36/Metas!J28</f>
        <v>0.9255765990090294</v>
      </c>
      <c r="D36" s="19">
        <f>+Q36/AD36</f>
        <v>0.8052516411378556</v>
      </c>
      <c r="E36" s="14">
        <f aca="true" t="shared" si="5" ref="E36:AD36">SUM(E26:E35)</f>
        <v>189</v>
      </c>
      <c r="F36" s="14">
        <f t="shared" si="5"/>
        <v>179</v>
      </c>
      <c r="G36" s="14">
        <f t="shared" si="5"/>
        <v>0</v>
      </c>
      <c r="H36" s="14">
        <f t="shared" si="5"/>
        <v>0</v>
      </c>
      <c r="I36" s="14">
        <f t="shared" si="5"/>
        <v>0</v>
      </c>
      <c r="J36" s="14">
        <f t="shared" si="5"/>
        <v>0</v>
      </c>
      <c r="K36" s="14">
        <f t="shared" si="5"/>
        <v>0</v>
      </c>
      <c r="L36" s="14">
        <f t="shared" si="5"/>
        <v>0</v>
      </c>
      <c r="M36" s="14">
        <f t="shared" si="5"/>
        <v>0</v>
      </c>
      <c r="N36" s="14">
        <f t="shared" si="5"/>
        <v>0</v>
      </c>
      <c r="O36" s="14">
        <f t="shared" si="5"/>
        <v>0</v>
      </c>
      <c r="P36" s="14">
        <f t="shared" si="5"/>
        <v>0</v>
      </c>
      <c r="Q36" s="14">
        <f t="shared" si="5"/>
        <v>368</v>
      </c>
      <c r="R36" s="14">
        <f t="shared" si="5"/>
        <v>236</v>
      </c>
      <c r="S36" s="14">
        <f t="shared" si="5"/>
        <v>221</v>
      </c>
      <c r="T36" s="14">
        <f t="shared" si="5"/>
        <v>0</v>
      </c>
      <c r="U36" s="14">
        <f t="shared" si="5"/>
        <v>0</v>
      </c>
      <c r="V36" s="14">
        <f t="shared" si="5"/>
        <v>0</v>
      </c>
      <c r="W36" s="14">
        <f t="shared" si="5"/>
        <v>0</v>
      </c>
      <c r="X36" s="14">
        <f t="shared" si="5"/>
        <v>0</v>
      </c>
      <c r="Y36" s="14">
        <f t="shared" si="5"/>
        <v>0</v>
      </c>
      <c r="Z36" s="14">
        <f t="shared" si="5"/>
        <v>0</v>
      </c>
      <c r="AA36" s="14">
        <f t="shared" si="5"/>
        <v>0</v>
      </c>
      <c r="AB36" s="14">
        <f t="shared" si="5"/>
        <v>0</v>
      </c>
      <c r="AC36" s="14">
        <f t="shared" si="5"/>
        <v>0</v>
      </c>
      <c r="AD36" s="14">
        <f t="shared" si="5"/>
        <v>457</v>
      </c>
      <c r="AE36" s="69"/>
    </row>
    <row r="37" spans="1:30" ht="15" thickBot="1">
      <c r="A37" s="110" t="s">
        <v>100</v>
      </c>
      <c r="B37" s="103" t="s">
        <v>90</v>
      </c>
      <c r="C37" s="63"/>
      <c r="D37" s="63"/>
      <c r="E37" s="121">
        <v>1</v>
      </c>
      <c r="F37" s="121">
        <v>2</v>
      </c>
      <c r="G37" s="101"/>
      <c r="H37" s="101"/>
      <c r="I37" s="101"/>
      <c r="J37" s="101"/>
      <c r="K37" s="101"/>
      <c r="L37" s="109"/>
      <c r="M37" s="109"/>
      <c r="N37" s="109"/>
      <c r="O37" s="109"/>
      <c r="P37" s="109"/>
      <c r="Q37" s="6">
        <f aca="true" t="shared" si="6" ref="Q37:Q88">SUM(E37:P37)</f>
        <v>3</v>
      </c>
      <c r="R37" s="121">
        <v>1</v>
      </c>
      <c r="S37" s="121">
        <v>3</v>
      </c>
      <c r="T37" s="101"/>
      <c r="U37" s="101"/>
      <c r="V37" s="101"/>
      <c r="W37" s="101"/>
      <c r="X37" s="101"/>
      <c r="Y37" s="109"/>
      <c r="Z37" s="109"/>
      <c r="AA37" s="109"/>
      <c r="AB37" s="109"/>
      <c r="AD37" s="6">
        <f t="shared" si="1"/>
        <v>4</v>
      </c>
    </row>
    <row r="38" spans="1:30" ht="15" thickBot="1">
      <c r="A38" s="110" t="s">
        <v>100</v>
      </c>
      <c r="B38" s="103" t="s">
        <v>91</v>
      </c>
      <c r="C38" s="63"/>
      <c r="D38" s="63"/>
      <c r="E38" s="121"/>
      <c r="F38" s="121"/>
      <c r="G38" s="101"/>
      <c r="H38" s="101"/>
      <c r="I38" s="101"/>
      <c r="J38" s="101"/>
      <c r="K38" s="101"/>
      <c r="L38" s="109"/>
      <c r="M38" s="109"/>
      <c r="N38" s="109"/>
      <c r="O38" s="109"/>
      <c r="P38" s="109"/>
      <c r="Q38" s="6">
        <f t="shared" si="6"/>
        <v>0</v>
      </c>
      <c r="R38" s="121"/>
      <c r="S38" s="121"/>
      <c r="T38" s="101"/>
      <c r="U38" s="101"/>
      <c r="V38" s="101"/>
      <c r="W38" s="101"/>
      <c r="X38" s="101"/>
      <c r="Y38" s="109"/>
      <c r="Z38" s="109"/>
      <c r="AA38" s="109"/>
      <c r="AB38" s="109"/>
      <c r="AD38" s="6">
        <f t="shared" si="1"/>
        <v>0</v>
      </c>
    </row>
    <row r="39" spans="1:30" ht="15" thickBot="1">
      <c r="A39" s="110" t="s">
        <v>100</v>
      </c>
      <c r="B39" s="103" t="s">
        <v>92</v>
      </c>
      <c r="C39" s="63"/>
      <c r="D39" s="63"/>
      <c r="E39" s="121">
        <v>2</v>
      </c>
      <c r="F39" s="121"/>
      <c r="G39" s="101"/>
      <c r="H39" s="101"/>
      <c r="I39" s="101"/>
      <c r="J39" s="101"/>
      <c r="K39" s="101"/>
      <c r="L39" s="109"/>
      <c r="M39" s="109"/>
      <c r="N39" s="109"/>
      <c r="O39" s="109"/>
      <c r="P39" s="109"/>
      <c r="Q39" s="6">
        <f t="shared" si="6"/>
        <v>2</v>
      </c>
      <c r="R39" s="121">
        <v>3</v>
      </c>
      <c r="S39" s="121"/>
      <c r="T39" s="101"/>
      <c r="U39" s="101"/>
      <c r="V39" s="101"/>
      <c r="W39" s="101"/>
      <c r="X39" s="101"/>
      <c r="Y39" s="109"/>
      <c r="Z39" s="109"/>
      <c r="AA39" s="109"/>
      <c r="AB39" s="109"/>
      <c r="AD39" s="6">
        <f t="shared" si="1"/>
        <v>3</v>
      </c>
    </row>
    <row r="40" spans="1:30" ht="15" thickBot="1">
      <c r="A40" s="110" t="s">
        <v>100</v>
      </c>
      <c r="B40" s="103" t="s">
        <v>93</v>
      </c>
      <c r="C40" s="63"/>
      <c r="D40" s="63"/>
      <c r="E40" s="121"/>
      <c r="F40" s="121"/>
      <c r="G40" s="101"/>
      <c r="H40" s="101"/>
      <c r="I40" s="101"/>
      <c r="J40" s="101"/>
      <c r="K40" s="101"/>
      <c r="L40" s="109"/>
      <c r="M40" s="109"/>
      <c r="N40" s="109"/>
      <c r="O40" s="109"/>
      <c r="P40" s="109"/>
      <c r="Q40" s="6">
        <f t="shared" si="6"/>
        <v>0</v>
      </c>
      <c r="R40" s="121"/>
      <c r="S40" s="121"/>
      <c r="T40" s="101"/>
      <c r="U40" s="101"/>
      <c r="V40" s="101"/>
      <c r="W40" s="101"/>
      <c r="X40" s="101"/>
      <c r="Y40" s="109"/>
      <c r="Z40" s="109"/>
      <c r="AA40" s="109"/>
      <c r="AB40" s="109"/>
      <c r="AD40" s="6">
        <f t="shared" si="1"/>
        <v>0</v>
      </c>
    </row>
    <row r="41" spans="1:30" ht="15" thickBot="1">
      <c r="A41" s="110" t="s">
        <v>100</v>
      </c>
      <c r="B41" s="103" t="s">
        <v>94</v>
      </c>
      <c r="C41" s="63"/>
      <c r="D41" s="63"/>
      <c r="E41" s="121"/>
      <c r="F41" s="121">
        <v>4</v>
      </c>
      <c r="G41" s="101"/>
      <c r="H41" s="101"/>
      <c r="I41" s="101"/>
      <c r="J41" s="101"/>
      <c r="K41" s="101"/>
      <c r="L41" s="109"/>
      <c r="M41" s="109"/>
      <c r="N41" s="109"/>
      <c r="O41" s="109"/>
      <c r="P41" s="109"/>
      <c r="Q41" s="6">
        <f t="shared" si="6"/>
        <v>4</v>
      </c>
      <c r="R41" s="121"/>
      <c r="S41" s="121">
        <v>4</v>
      </c>
      <c r="T41" s="101"/>
      <c r="U41" s="101"/>
      <c r="V41" s="101"/>
      <c r="W41" s="101"/>
      <c r="X41" s="101"/>
      <c r="Y41" s="109"/>
      <c r="Z41" s="109"/>
      <c r="AA41" s="109"/>
      <c r="AB41" s="109"/>
      <c r="AD41" s="6">
        <f t="shared" si="1"/>
        <v>4</v>
      </c>
    </row>
    <row r="42" spans="1:30" ht="15" thickBot="1">
      <c r="A42" s="110" t="s">
        <v>100</v>
      </c>
      <c r="B42" s="103" t="s">
        <v>95</v>
      </c>
      <c r="C42" s="63"/>
      <c r="D42" s="63"/>
      <c r="E42" s="121">
        <v>1</v>
      </c>
      <c r="F42" s="121">
        <v>1</v>
      </c>
      <c r="G42" s="101"/>
      <c r="H42" s="101"/>
      <c r="I42" s="101"/>
      <c r="J42" s="101"/>
      <c r="K42" s="101"/>
      <c r="L42" s="109"/>
      <c r="M42" s="109"/>
      <c r="N42" s="109"/>
      <c r="O42" s="109"/>
      <c r="P42" s="109"/>
      <c r="Q42" s="6">
        <f t="shared" si="6"/>
        <v>2</v>
      </c>
      <c r="R42" s="121">
        <v>1</v>
      </c>
      <c r="S42" s="121">
        <v>1</v>
      </c>
      <c r="T42" s="101"/>
      <c r="U42" s="101"/>
      <c r="V42" s="101"/>
      <c r="W42" s="101"/>
      <c r="X42" s="101"/>
      <c r="Y42" s="109"/>
      <c r="Z42" s="109"/>
      <c r="AA42" s="109"/>
      <c r="AB42" s="109"/>
      <c r="AD42" s="6">
        <f t="shared" si="1"/>
        <v>2</v>
      </c>
    </row>
    <row r="43" spans="1:30" ht="15" thickBot="1">
      <c r="A43" s="110" t="s">
        <v>100</v>
      </c>
      <c r="B43" s="103" t="s">
        <v>96</v>
      </c>
      <c r="C43" s="63"/>
      <c r="D43" s="63"/>
      <c r="E43" s="121">
        <v>1</v>
      </c>
      <c r="F43" s="121"/>
      <c r="G43" s="101"/>
      <c r="H43" s="101"/>
      <c r="I43" s="101"/>
      <c r="J43" s="101"/>
      <c r="K43" s="101"/>
      <c r="L43" s="109"/>
      <c r="M43" s="109"/>
      <c r="N43" s="109"/>
      <c r="O43" s="109"/>
      <c r="P43" s="109"/>
      <c r="Q43" s="6">
        <f t="shared" si="6"/>
        <v>1</v>
      </c>
      <c r="R43" s="121">
        <v>1</v>
      </c>
      <c r="S43" s="121"/>
      <c r="T43" s="101"/>
      <c r="U43" s="101"/>
      <c r="V43" s="101"/>
      <c r="W43" s="101"/>
      <c r="X43" s="101"/>
      <c r="Y43" s="109"/>
      <c r="Z43" s="109"/>
      <c r="AA43" s="109"/>
      <c r="AB43" s="109"/>
      <c r="AD43" s="6">
        <f t="shared" si="1"/>
        <v>1</v>
      </c>
    </row>
    <row r="44" spans="1:30" ht="15" thickBot="1">
      <c r="A44" s="110" t="s">
        <v>100</v>
      </c>
      <c r="B44" s="103" t="s">
        <v>97</v>
      </c>
      <c r="C44" s="63"/>
      <c r="D44" s="63"/>
      <c r="E44" s="121"/>
      <c r="F44" s="121"/>
      <c r="G44" s="101"/>
      <c r="H44" s="101"/>
      <c r="I44" s="101"/>
      <c r="J44" s="101"/>
      <c r="K44" s="101"/>
      <c r="L44" s="109"/>
      <c r="M44" s="109"/>
      <c r="N44" s="109"/>
      <c r="O44" s="109"/>
      <c r="P44" s="109"/>
      <c r="Q44" s="6">
        <f t="shared" si="6"/>
        <v>0</v>
      </c>
      <c r="R44" s="121"/>
      <c r="S44" s="121"/>
      <c r="T44" s="101"/>
      <c r="U44" s="101"/>
      <c r="V44" s="101"/>
      <c r="W44" s="101"/>
      <c r="X44" s="101"/>
      <c r="Y44" s="109"/>
      <c r="Z44" s="109"/>
      <c r="AA44" s="109"/>
      <c r="AB44" s="109"/>
      <c r="AD44" s="6">
        <f t="shared" si="1"/>
        <v>0</v>
      </c>
    </row>
    <row r="45" spans="1:30" ht="15" thickBot="1">
      <c r="A45" s="110" t="s">
        <v>100</v>
      </c>
      <c r="B45" s="103" t="s">
        <v>98</v>
      </c>
      <c r="C45" s="63"/>
      <c r="D45" s="63"/>
      <c r="E45" s="121">
        <v>3</v>
      </c>
      <c r="F45" s="121">
        <v>2</v>
      </c>
      <c r="G45" s="101"/>
      <c r="H45" s="101"/>
      <c r="I45" s="101"/>
      <c r="J45" s="101"/>
      <c r="K45" s="101"/>
      <c r="L45" s="109"/>
      <c r="M45" s="109"/>
      <c r="N45" s="109"/>
      <c r="O45" s="109"/>
      <c r="P45" s="109"/>
      <c r="Q45" s="6">
        <f t="shared" si="6"/>
        <v>5</v>
      </c>
      <c r="R45" s="121">
        <v>3</v>
      </c>
      <c r="S45" s="121">
        <v>2</v>
      </c>
      <c r="T45" s="101"/>
      <c r="U45" s="101"/>
      <c r="V45" s="101"/>
      <c r="W45" s="101"/>
      <c r="X45" s="101"/>
      <c r="Y45" s="109"/>
      <c r="Z45" s="109"/>
      <c r="AA45" s="109"/>
      <c r="AB45" s="109"/>
      <c r="AD45" s="6">
        <f t="shared" si="1"/>
        <v>5</v>
      </c>
    </row>
    <row r="46" spans="1:30" ht="15" thickBot="1">
      <c r="A46" s="110" t="s">
        <v>100</v>
      </c>
      <c r="B46" s="103" t="s">
        <v>99</v>
      </c>
      <c r="C46" s="63"/>
      <c r="D46" s="63"/>
      <c r="E46" s="121"/>
      <c r="F46" s="121"/>
      <c r="G46" s="101"/>
      <c r="H46" s="101"/>
      <c r="I46" s="101"/>
      <c r="J46" s="101"/>
      <c r="K46" s="101"/>
      <c r="L46" s="109"/>
      <c r="M46" s="109"/>
      <c r="N46" s="109"/>
      <c r="O46" s="109"/>
      <c r="P46" s="109"/>
      <c r="Q46" s="6">
        <f t="shared" si="6"/>
        <v>0</v>
      </c>
      <c r="R46" s="121">
        <v>2</v>
      </c>
      <c r="S46" s="121"/>
      <c r="T46" s="101"/>
      <c r="U46" s="101"/>
      <c r="V46" s="101"/>
      <c r="W46" s="101"/>
      <c r="X46" s="101"/>
      <c r="Y46" s="109"/>
      <c r="Z46" s="109"/>
      <c r="AA46" s="109"/>
      <c r="AB46" s="109"/>
      <c r="AD46" s="6">
        <f t="shared" si="1"/>
        <v>2</v>
      </c>
    </row>
    <row r="47" spans="1:31" s="65" customFormat="1" ht="15" thickBot="1">
      <c r="A47" s="196" t="s">
        <v>202</v>
      </c>
      <c r="B47" s="197"/>
      <c r="C47" s="45">
        <f>+D47/Metas!J37</f>
        <v>0.9304871373836892</v>
      </c>
      <c r="D47" s="19">
        <f>+Q47/AD47</f>
        <v>0.8095238095238095</v>
      </c>
      <c r="E47" s="14">
        <f>SUM(E37:E46)</f>
        <v>8</v>
      </c>
      <c r="F47" s="14">
        <f aca="true" t="shared" si="7" ref="F47:P47">SUM(F37:F46)</f>
        <v>9</v>
      </c>
      <c r="G47" s="14">
        <f t="shared" si="7"/>
        <v>0</v>
      </c>
      <c r="H47" s="14">
        <f t="shared" si="7"/>
        <v>0</v>
      </c>
      <c r="I47" s="14">
        <f t="shared" si="7"/>
        <v>0</v>
      </c>
      <c r="J47" s="14">
        <f t="shared" si="7"/>
        <v>0</v>
      </c>
      <c r="K47" s="14">
        <f t="shared" si="7"/>
        <v>0</v>
      </c>
      <c r="L47" s="14">
        <f t="shared" si="7"/>
        <v>0</v>
      </c>
      <c r="M47" s="14">
        <f t="shared" si="7"/>
        <v>0</v>
      </c>
      <c r="N47" s="14">
        <f t="shared" si="7"/>
        <v>0</v>
      </c>
      <c r="O47" s="14">
        <f t="shared" si="7"/>
        <v>0</v>
      </c>
      <c r="P47" s="14">
        <f t="shared" si="7"/>
        <v>0</v>
      </c>
      <c r="Q47" s="14">
        <f>SUM(Q37:Q46)</f>
        <v>17</v>
      </c>
      <c r="R47" s="14">
        <f>SUM(R37:R46)</f>
        <v>11</v>
      </c>
      <c r="S47" s="14">
        <f aca="true" t="shared" si="8" ref="S47:AC47">SUM(S37:S46)</f>
        <v>10</v>
      </c>
      <c r="T47" s="14">
        <f t="shared" si="8"/>
        <v>0</v>
      </c>
      <c r="U47" s="14">
        <f t="shared" si="8"/>
        <v>0</v>
      </c>
      <c r="V47" s="14">
        <f t="shared" si="8"/>
        <v>0</v>
      </c>
      <c r="W47" s="14">
        <f t="shared" si="8"/>
        <v>0</v>
      </c>
      <c r="X47" s="14">
        <f t="shared" si="8"/>
        <v>0</v>
      </c>
      <c r="Y47" s="14">
        <f t="shared" si="8"/>
        <v>0</v>
      </c>
      <c r="Z47" s="14">
        <f t="shared" si="8"/>
        <v>0</v>
      </c>
      <c r="AA47" s="14">
        <f t="shared" si="8"/>
        <v>0</v>
      </c>
      <c r="AB47" s="14">
        <f t="shared" si="8"/>
        <v>0</v>
      </c>
      <c r="AC47" s="14">
        <f t="shared" si="8"/>
        <v>0</v>
      </c>
      <c r="AD47" s="14">
        <f>SUM(AD37:AD46)</f>
        <v>21</v>
      </c>
      <c r="AE47" s="69"/>
    </row>
    <row r="48" spans="1:30" ht="15" thickBot="1">
      <c r="A48" s="110" t="s">
        <v>114</v>
      </c>
      <c r="B48" s="103" t="s">
        <v>101</v>
      </c>
      <c r="C48" s="63"/>
      <c r="D48" s="63"/>
      <c r="E48" s="121">
        <v>4</v>
      </c>
      <c r="F48" s="121">
        <v>2</v>
      </c>
      <c r="G48" s="101"/>
      <c r="H48" s="101"/>
      <c r="I48" s="101"/>
      <c r="J48" s="101"/>
      <c r="K48" s="101"/>
      <c r="L48" s="109"/>
      <c r="M48" s="109"/>
      <c r="N48" s="109"/>
      <c r="O48" s="109"/>
      <c r="P48" s="109"/>
      <c r="Q48" s="6">
        <f t="shared" si="6"/>
        <v>6</v>
      </c>
      <c r="R48" s="121">
        <v>4</v>
      </c>
      <c r="S48" s="121">
        <v>2</v>
      </c>
      <c r="T48" s="101"/>
      <c r="U48" s="101"/>
      <c r="V48" s="101"/>
      <c r="W48" s="101"/>
      <c r="X48" s="101"/>
      <c r="Y48" s="109"/>
      <c r="Z48" s="109"/>
      <c r="AA48" s="109"/>
      <c r="AB48" s="109"/>
      <c r="AC48" s="109"/>
      <c r="AD48" s="6">
        <f t="shared" si="1"/>
        <v>6</v>
      </c>
    </row>
    <row r="49" spans="1:30" ht="15" thickBot="1">
      <c r="A49" s="110" t="s">
        <v>114</v>
      </c>
      <c r="B49" s="103" t="s">
        <v>102</v>
      </c>
      <c r="C49" s="63"/>
      <c r="D49" s="63"/>
      <c r="E49" s="121"/>
      <c r="F49" s="121"/>
      <c r="G49" s="101"/>
      <c r="H49" s="101"/>
      <c r="I49" s="101"/>
      <c r="J49" s="101"/>
      <c r="K49" s="101"/>
      <c r="L49" s="109"/>
      <c r="M49" s="109"/>
      <c r="N49" s="109"/>
      <c r="O49" s="109"/>
      <c r="P49" s="109"/>
      <c r="Q49" s="6">
        <f t="shared" si="6"/>
        <v>0</v>
      </c>
      <c r="R49" s="121"/>
      <c r="S49" s="121"/>
      <c r="T49" s="101"/>
      <c r="U49" s="101"/>
      <c r="V49" s="101"/>
      <c r="W49" s="101"/>
      <c r="X49" s="101"/>
      <c r="Y49" s="109"/>
      <c r="Z49" s="109"/>
      <c r="AA49" s="109"/>
      <c r="AB49" s="109"/>
      <c r="AC49" s="109"/>
      <c r="AD49" s="6">
        <f t="shared" si="1"/>
        <v>0</v>
      </c>
    </row>
    <row r="50" spans="1:30" ht="15" thickBot="1">
      <c r="A50" s="110" t="s">
        <v>114</v>
      </c>
      <c r="B50" s="103" t="s">
        <v>103</v>
      </c>
      <c r="C50" s="63"/>
      <c r="D50" s="63"/>
      <c r="E50" s="121"/>
      <c r="F50" s="121"/>
      <c r="G50" s="101"/>
      <c r="H50" s="101"/>
      <c r="I50" s="101"/>
      <c r="J50" s="101"/>
      <c r="K50" s="101"/>
      <c r="L50" s="109"/>
      <c r="M50" s="109"/>
      <c r="N50" s="109"/>
      <c r="O50" s="109"/>
      <c r="P50" s="109"/>
      <c r="Q50" s="6">
        <f t="shared" si="6"/>
        <v>0</v>
      </c>
      <c r="R50" s="121"/>
      <c r="S50" s="121"/>
      <c r="T50" s="101"/>
      <c r="U50" s="101"/>
      <c r="V50" s="101"/>
      <c r="W50" s="101"/>
      <c r="X50" s="101"/>
      <c r="Y50" s="109"/>
      <c r="Z50" s="109"/>
      <c r="AA50" s="109"/>
      <c r="AB50" s="109"/>
      <c r="AC50" s="109"/>
      <c r="AD50" s="6">
        <f t="shared" si="1"/>
        <v>0</v>
      </c>
    </row>
    <row r="51" spans="1:30" ht="15" thickBot="1">
      <c r="A51" s="110" t="s">
        <v>114</v>
      </c>
      <c r="B51" s="103" t="s">
        <v>104</v>
      </c>
      <c r="C51" s="63"/>
      <c r="D51" s="63"/>
      <c r="E51" s="121"/>
      <c r="F51" s="121"/>
      <c r="G51" s="101"/>
      <c r="H51" s="101"/>
      <c r="I51" s="101"/>
      <c r="J51" s="101"/>
      <c r="K51" s="101"/>
      <c r="L51" s="109"/>
      <c r="M51" s="109"/>
      <c r="N51" s="109"/>
      <c r="O51" s="109"/>
      <c r="P51" s="109"/>
      <c r="Q51" s="6">
        <f t="shared" si="6"/>
        <v>0</v>
      </c>
      <c r="R51" s="121"/>
      <c r="S51" s="121"/>
      <c r="T51" s="101"/>
      <c r="U51" s="101"/>
      <c r="V51" s="101"/>
      <c r="W51" s="101"/>
      <c r="X51" s="101"/>
      <c r="Y51" s="109"/>
      <c r="Z51" s="109"/>
      <c r="AA51" s="109"/>
      <c r="AB51" s="109"/>
      <c r="AC51" s="109"/>
      <c r="AD51" s="6">
        <f t="shared" si="1"/>
        <v>0</v>
      </c>
    </row>
    <row r="52" spans="1:30" ht="15" thickBot="1">
      <c r="A52" s="110" t="s">
        <v>114</v>
      </c>
      <c r="B52" s="103" t="s">
        <v>105</v>
      </c>
      <c r="C52" s="63"/>
      <c r="D52" s="63"/>
      <c r="E52" s="121"/>
      <c r="F52" s="121"/>
      <c r="G52" s="101"/>
      <c r="H52" s="101"/>
      <c r="I52" s="101"/>
      <c r="J52" s="101"/>
      <c r="K52" s="101"/>
      <c r="L52" s="109"/>
      <c r="M52" s="109"/>
      <c r="N52" s="109"/>
      <c r="O52" s="109"/>
      <c r="P52" s="109"/>
      <c r="Q52" s="6">
        <f t="shared" si="6"/>
        <v>0</v>
      </c>
      <c r="R52" s="121"/>
      <c r="S52" s="121"/>
      <c r="T52" s="101"/>
      <c r="U52" s="101"/>
      <c r="V52" s="101"/>
      <c r="W52" s="101"/>
      <c r="X52" s="101"/>
      <c r="Y52" s="109"/>
      <c r="Z52" s="109"/>
      <c r="AA52" s="109"/>
      <c r="AB52" s="109"/>
      <c r="AC52" s="109"/>
      <c r="AD52" s="6">
        <f t="shared" si="1"/>
        <v>0</v>
      </c>
    </row>
    <row r="53" spans="1:30" ht="15" thickBot="1">
      <c r="A53" s="110" t="s">
        <v>114</v>
      </c>
      <c r="B53" s="103" t="s">
        <v>106</v>
      </c>
      <c r="C53" s="63"/>
      <c r="D53" s="63"/>
      <c r="E53" s="121"/>
      <c r="F53" s="121"/>
      <c r="G53" s="101"/>
      <c r="H53" s="101"/>
      <c r="I53" s="101"/>
      <c r="J53" s="101"/>
      <c r="K53" s="101"/>
      <c r="L53" s="109"/>
      <c r="M53" s="109"/>
      <c r="N53" s="109"/>
      <c r="O53" s="109"/>
      <c r="P53" s="109"/>
      <c r="Q53" s="6">
        <f t="shared" si="6"/>
        <v>0</v>
      </c>
      <c r="R53" s="121"/>
      <c r="S53" s="121"/>
      <c r="T53" s="101"/>
      <c r="U53" s="101"/>
      <c r="V53" s="101"/>
      <c r="W53" s="101"/>
      <c r="X53" s="101"/>
      <c r="Y53" s="109"/>
      <c r="Z53" s="109"/>
      <c r="AA53" s="109"/>
      <c r="AB53" s="109"/>
      <c r="AC53" s="109"/>
      <c r="AD53" s="6">
        <f t="shared" si="1"/>
        <v>0</v>
      </c>
    </row>
    <row r="54" spans="1:30" ht="15" thickBot="1">
      <c r="A54" s="110" t="s">
        <v>114</v>
      </c>
      <c r="B54" s="103" t="s">
        <v>107</v>
      </c>
      <c r="C54" s="63"/>
      <c r="D54" s="63"/>
      <c r="E54" s="121"/>
      <c r="F54" s="121"/>
      <c r="G54" s="101"/>
      <c r="H54" s="101"/>
      <c r="I54" s="101"/>
      <c r="J54" s="101"/>
      <c r="K54" s="101"/>
      <c r="L54" s="109"/>
      <c r="M54" s="109"/>
      <c r="N54" s="109"/>
      <c r="O54" s="109"/>
      <c r="P54" s="109"/>
      <c r="Q54" s="6">
        <f t="shared" si="6"/>
        <v>0</v>
      </c>
      <c r="R54" s="121"/>
      <c r="S54" s="121"/>
      <c r="T54" s="101"/>
      <c r="U54" s="101"/>
      <c r="V54" s="101"/>
      <c r="W54" s="101"/>
      <c r="X54" s="101"/>
      <c r="Y54" s="109"/>
      <c r="Z54" s="109"/>
      <c r="AA54" s="109"/>
      <c r="AB54" s="109"/>
      <c r="AC54" s="109"/>
      <c r="AD54" s="6">
        <f t="shared" si="1"/>
        <v>0</v>
      </c>
    </row>
    <row r="55" spans="1:30" ht="15" thickBot="1">
      <c r="A55" s="110" t="s">
        <v>114</v>
      </c>
      <c r="B55" s="103" t="s">
        <v>108</v>
      </c>
      <c r="C55" s="63"/>
      <c r="D55" s="63"/>
      <c r="E55" s="121"/>
      <c r="F55" s="121"/>
      <c r="G55" s="101"/>
      <c r="H55" s="101"/>
      <c r="I55" s="101"/>
      <c r="J55" s="101"/>
      <c r="K55" s="101"/>
      <c r="L55" s="109"/>
      <c r="M55" s="109"/>
      <c r="N55" s="109"/>
      <c r="O55" s="109"/>
      <c r="P55" s="109"/>
      <c r="Q55" s="6">
        <f t="shared" si="6"/>
        <v>0</v>
      </c>
      <c r="R55" s="121"/>
      <c r="S55" s="121"/>
      <c r="T55" s="101"/>
      <c r="U55" s="101"/>
      <c r="V55" s="101"/>
      <c r="W55" s="101"/>
      <c r="X55" s="101"/>
      <c r="Y55" s="109"/>
      <c r="Z55" s="109"/>
      <c r="AA55" s="109"/>
      <c r="AB55" s="109"/>
      <c r="AC55" s="109"/>
      <c r="AD55" s="6">
        <f t="shared" si="1"/>
        <v>0</v>
      </c>
    </row>
    <row r="56" spans="1:30" ht="15" thickBot="1">
      <c r="A56" s="110" t="s">
        <v>114</v>
      </c>
      <c r="B56" s="103" t="s">
        <v>109</v>
      </c>
      <c r="C56" s="63"/>
      <c r="D56" s="63"/>
      <c r="E56" s="121">
        <v>2</v>
      </c>
      <c r="F56" s="121">
        <v>2</v>
      </c>
      <c r="G56" s="101"/>
      <c r="H56" s="101"/>
      <c r="I56" s="101"/>
      <c r="J56" s="101"/>
      <c r="K56" s="101"/>
      <c r="L56" s="109"/>
      <c r="M56" s="109"/>
      <c r="N56" s="109"/>
      <c r="O56" s="109"/>
      <c r="P56" s="109"/>
      <c r="Q56" s="6">
        <f t="shared" si="6"/>
        <v>4</v>
      </c>
      <c r="R56" s="121">
        <v>2</v>
      </c>
      <c r="S56" s="121">
        <v>2</v>
      </c>
      <c r="T56" s="101"/>
      <c r="U56" s="101"/>
      <c r="V56" s="101"/>
      <c r="W56" s="101"/>
      <c r="X56" s="101"/>
      <c r="Y56" s="109"/>
      <c r="Z56" s="109"/>
      <c r="AA56" s="109"/>
      <c r="AB56" s="109"/>
      <c r="AC56" s="109"/>
      <c r="AD56" s="6">
        <f t="shared" si="1"/>
        <v>4</v>
      </c>
    </row>
    <row r="57" spans="1:30" ht="15" thickBot="1">
      <c r="A57" s="110" t="s">
        <v>114</v>
      </c>
      <c r="B57" s="103" t="s">
        <v>110</v>
      </c>
      <c r="C57" s="63"/>
      <c r="D57" s="63"/>
      <c r="E57" s="121">
        <v>1</v>
      </c>
      <c r="F57" s="121"/>
      <c r="G57" s="101"/>
      <c r="H57" s="101"/>
      <c r="I57" s="101"/>
      <c r="J57" s="101"/>
      <c r="K57" s="101"/>
      <c r="L57" s="109"/>
      <c r="M57" s="109"/>
      <c r="N57" s="109"/>
      <c r="O57" s="109"/>
      <c r="P57" s="109"/>
      <c r="Q57" s="6">
        <f t="shared" si="6"/>
        <v>1</v>
      </c>
      <c r="R57" s="121">
        <v>1</v>
      </c>
      <c r="S57" s="121"/>
      <c r="T57" s="101"/>
      <c r="U57" s="101"/>
      <c r="V57" s="101"/>
      <c r="W57" s="101"/>
      <c r="X57" s="101"/>
      <c r="Y57" s="109"/>
      <c r="Z57" s="109"/>
      <c r="AA57" s="109"/>
      <c r="AB57" s="109"/>
      <c r="AC57" s="109"/>
      <c r="AD57" s="6">
        <f t="shared" si="1"/>
        <v>1</v>
      </c>
    </row>
    <row r="58" spans="1:30" ht="15" thickBot="1">
      <c r="A58" s="110" t="s">
        <v>114</v>
      </c>
      <c r="B58" s="103" t="s">
        <v>111</v>
      </c>
      <c r="C58" s="63"/>
      <c r="D58" s="63"/>
      <c r="E58" s="121">
        <v>1</v>
      </c>
      <c r="F58" s="121"/>
      <c r="G58" s="101"/>
      <c r="H58" s="101"/>
      <c r="I58" s="101"/>
      <c r="J58" s="101"/>
      <c r="K58" s="101"/>
      <c r="L58" s="109"/>
      <c r="M58" s="109"/>
      <c r="N58" s="109"/>
      <c r="O58" s="109"/>
      <c r="P58" s="109"/>
      <c r="Q58" s="6">
        <f t="shared" si="6"/>
        <v>1</v>
      </c>
      <c r="R58" s="121">
        <v>1</v>
      </c>
      <c r="S58" s="121"/>
      <c r="T58" s="101"/>
      <c r="U58" s="101"/>
      <c r="V58" s="101"/>
      <c r="W58" s="101"/>
      <c r="X58" s="101"/>
      <c r="Y58" s="109"/>
      <c r="Z58" s="109"/>
      <c r="AA58" s="109"/>
      <c r="AB58" s="109"/>
      <c r="AC58" s="109"/>
      <c r="AD58" s="6">
        <f t="shared" si="1"/>
        <v>1</v>
      </c>
    </row>
    <row r="59" spans="1:30" ht="15" thickBot="1">
      <c r="A59" s="110" t="s">
        <v>114</v>
      </c>
      <c r="B59" s="103" t="s">
        <v>112</v>
      </c>
      <c r="C59" s="63"/>
      <c r="D59" s="63"/>
      <c r="E59" s="121"/>
      <c r="F59" s="121"/>
      <c r="G59" s="101"/>
      <c r="H59" s="101"/>
      <c r="I59" s="101"/>
      <c r="J59" s="101"/>
      <c r="K59" s="101"/>
      <c r="L59" s="109"/>
      <c r="M59" s="109"/>
      <c r="N59" s="109"/>
      <c r="O59" s="109"/>
      <c r="P59" s="109"/>
      <c r="Q59" s="6">
        <f t="shared" si="6"/>
        <v>0</v>
      </c>
      <c r="R59" s="121"/>
      <c r="S59" s="121"/>
      <c r="T59" s="101"/>
      <c r="U59" s="101"/>
      <c r="V59" s="101"/>
      <c r="W59" s="101"/>
      <c r="X59" s="101"/>
      <c r="Y59" s="109"/>
      <c r="Z59" s="109"/>
      <c r="AA59" s="109"/>
      <c r="AB59" s="109"/>
      <c r="AC59" s="109"/>
      <c r="AD59" s="6">
        <f t="shared" si="1"/>
        <v>0</v>
      </c>
    </row>
    <row r="60" spans="1:30" ht="15" thickBot="1">
      <c r="A60" s="110" t="s">
        <v>114</v>
      </c>
      <c r="B60" s="103" t="s">
        <v>113</v>
      </c>
      <c r="C60" s="63"/>
      <c r="D60" s="63"/>
      <c r="E60" s="121"/>
      <c r="F60" s="121"/>
      <c r="G60" s="101"/>
      <c r="H60" s="101"/>
      <c r="I60" s="101"/>
      <c r="J60" s="101"/>
      <c r="K60" s="101"/>
      <c r="L60" s="109"/>
      <c r="M60" s="109"/>
      <c r="N60" s="109"/>
      <c r="O60" s="109"/>
      <c r="P60" s="109"/>
      <c r="Q60" s="6">
        <f t="shared" si="6"/>
        <v>0</v>
      </c>
      <c r="R60" s="121"/>
      <c r="S60" s="121"/>
      <c r="T60" s="101"/>
      <c r="U60" s="101"/>
      <c r="V60" s="101"/>
      <c r="W60" s="101"/>
      <c r="X60" s="101"/>
      <c r="Y60" s="109"/>
      <c r="Z60" s="109"/>
      <c r="AA60" s="109"/>
      <c r="AB60" s="109"/>
      <c r="AC60" s="109"/>
      <c r="AD60" s="6">
        <f t="shared" si="1"/>
        <v>0</v>
      </c>
    </row>
    <row r="61" spans="1:31" s="65" customFormat="1" ht="15" thickBot="1">
      <c r="A61" s="196" t="s">
        <v>203</v>
      </c>
      <c r="B61" s="197"/>
      <c r="C61" s="45">
        <f>+D61/Metas!J29</f>
        <v>1.1111111111111112</v>
      </c>
      <c r="D61" s="19">
        <f>+Q61/AD61</f>
        <v>1</v>
      </c>
      <c r="E61" s="14">
        <f aca="true" t="shared" si="9" ref="E61:O61">SUM(E48:E60)</f>
        <v>8</v>
      </c>
      <c r="F61" s="14">
        <f t="shared" si="9"/>
        <v>4</v>
      </c>
      <c r="G61" s="14">
        <f t="shared" si="9"/>
        <v>0</v>
      </c>
      <c r="H61" s="14">
        <f t="shared" si="9"/>
        <v>0</v>
      </c>
      <c r="I61" s="14">
        <f t="shared" si="9"/>
        <v>0</v>
      </c>
      <c r="J61" s="14">
        <f t="shared" si="9"/>
        <v>0</v>
      </c>
      <c r="K61" s="14">
        <f t="shared" si="9"/>
        <v>0</v>
      </c>
      <c r="L61" s="14">
        <f t="shared" si="9"/>
        <v>0</v>
      </c>
      <c r="M61" s="14">
        <f t="shared" si="9"/>
        <v>0</v>
      </c>
      <c r="N61" s="14">
        <f t="shared" si="9"/>
        <v>0</v>
      </c>
      <c r="O61" s="14">
        <f t="shared" si="9"/>
        <v>0</v>
      </c>
      <c r="P61" s="14">
        <f>SUM(P48:P60)</f>
        <v>0</v>
      </c>
      <c r="Q61" s="14">
        <f>SUM(Q48:Q60)</f>
        <v>12</v>
      </c>
      <c r="R61" s="14">
        <f>SUM(R48:R60)</f>
        <v>8</v>
      </c>
      <c r="S61" s="14">
        <f aca="true" t="shared" si="10" ref="S61:AC61">SUM(S48:S60)</f>
        <v>4</v>
      </c>
      <c r="T61" s="14">
        <f t="shared" si="10"/>
        <v>0</v>
      </c>
      <c r="U61" s="14">
        <f t="shared" si="10"/>
        <v>0</v>
      </c>
      <c r="V61" s="14">
        <f t="shared" si="10"/>
        <v>0</v>
      </c>
      <c r="W61" s="14">
        <f t="shared" si="10"/>
        <v>0</v>
      </c>
      <c r="X61" s="14">
        <f t="shared" si="10"/>
        <v>0</v>
      </c>
      <c r="Y61" s="14">
        <f t="shared" si="10"/>
        <v>0</v>
      </c>
      <c r="Z61" s="14">
        <f t="shared" si="10"/>
        <v>0</v>
      </c>
      <c r="AA61" s="14">
        <f t="shared" si="10"/>
        <v>0</v>
      </c>
      <c r="AB61" s="14">
        <f t="shared" si="10"/>
        <v>0</v>
      </c>
      <c r="AC61" s="14">
        <f t="shared" si="10"/>
        <v>0</v>
      </c>
      <c r="AD61" s="14">
        <f>SUM(AD48:AD60)</f>
        <v>12</v>
      </c>
      <c r="AE61" s="69"/>
    </row>
    <row r="62" spans="1:30" ht="15" thickBot="1">
      <c r="A62" s="110" t="s">
        <v>125</v>
      </c>
      <c r="B62" s="103" t="s">
        <v>115</v>
      </c>
      <c r="C62" s="63"/>
      <c r="D62" s="63"/>
      <c r="E62" s="121">
        <v>5</v>
      </c>
      <c r="F62" s="121">
        <v>5</v>
      </c>
      <c r="G62" s="101"/>
      <c r="H62" s="101"/>
      <c r="I62" s="101"/>
      <c r="J62" s="101"/>
      <c r="K62" s="101"/>
      <c r="L62" s="109"/>
      <c r="M62" s="109"/>
      <c r="N62" s="109"/>
      <c r="O62" s="109"/>
      <c r="P62" s="109"/>
      <c r="Q62" s="6">
        <f t="shared" si="6"/>
        <v>10</v>
      </c>
      <c r="R62" s="121">
        <v>7</v>
      </c>
      <c r="S62" s="121">
        <v>7</v>
      </c>
      <c r="T62" s="101"/>
      <c r="U62" s="101"/>
      <c r="V62" s="101"/>
      <c r="W62" s="101"/>
      <c r="X62" s="101"/>
      <c r="Y62" s="109"/>
      <c r="Z62" s="109"/>
      <c r="AA62" s="109"/>
      <c r="AB62" s="109"/>
      <c r="AC62" s="109"/>
      <c r="AD62" s="6">
        <f aca="true" t="shared" si="11" ref="AD62:AD125">SUM(R62:AC62)</f>
        <v>14</v>
      </c>
    </row>
    <row r="63" spans="1:30" ht="15" thickBot="1">
      <c r="A63" s="110" t="s">
        <v>125</v>
      </c>
      <c r="B63" s="103" t="s">
        <v>116</v>
      </c>
      <c r="C63" s="63"/>
      <c r="D63" s="63"/>
      <c r="E63" s="121">
        <v>1</v>
      </c>
      <c r="F63" s="121"/>
      <c r="G63" s="101"/>
      <c r="H63" s="101"/>
      <c r="I63" s="101"/>
      <c r="J63" s="101"/>
      <c r="K63" s="101"/>
      <c r="L63" s="109"/>
      <c r="M63" s="109"/>
      <c r="N63" s="109"/>
      <c r="O63" s="109"/>
      <c r="P63" s="109"/>
      <c r="Q63" s="6">
        <f t="shared" si="6"/>
        <v>1</v>
      </c>
      <c r="R63" s="121">
        <v>1</v>
      </c>
      <c r="S63" s="121"/>
      <c r="T63" s="101"/>
      <c r="U63" s="101"/>
      <c r="V63" s="101"/>
      <c r="W63" s="101"/>
      <c r="X63" s="101"/>
      <c r="Y63" s="109"/>
      <c r="Z63" s="109"/>
      <c r="AA63" s="109"/>
      <c r="AB63" s="109"/>
      <c r="AC63" s="109"/>
      <c r="AD63" s="6">
        <f t="shared" si="11"/>
        <v>1</v>
      </c>
    </row>
    <row r="64" spans="1:30" ht="15" thickBot="1">
      <c r="A64" s="110" t="s">
        <v>125</v>
      </c>
      <c r="B64" s="103" t="s">
        <v>117</v>
      </c>
      <c r="C64" s="63"/>
      <c r="D64" s="63"/>
      <c r="E64" s="121"/>
      <c r="F64" s="121"/>
      <c r="G64" s="101"/>
      <c r="H64" s="101"/>
      <c r="I64" s="101"/>
      <c r="J64" s="101"/>
      <c r="K64" s="101"/>
      <c r="L64" s="109"/>
      <c r="M64" s="109"/>
      <c r="N64" s="109"/>
      <c r="O64" s="109"/>
      <c r="P64" s="109"/>
      <c r="Q64" s="6">
        <f t="shared" si="6"/>
        <v>0</v>
      </c>
      <c r="R64" s="121"/>
      <c r="S64" s="121"/>
      <c r="T64" s="101"/>
      <c r="U64" s="101"/>
      <c r="V64" s="101"/>
      <c r="W64" s="101"/>
      <c r="X64" s="101"/>
      <c r="Y64" s="109"/>
      <c r="Z64" s="109"/>
      <c r="AA64" s="109"/>
      <c r="AB64" s="109"/>
      <c r="AC64" s="109"/>
      <c r="AD64" s="6">
        <f t="shared" si="11"/>
        <v>0</v>
      </c>
    </row>
    <row r="65" spans="1:30" ht="15" thickBot="1">
      <c r="A65" s="110" t="s">
        <v>125</v>
      </c>
      <c r="B65" s="103" t="s">
        <v>118</v>
      </c>
      <c r="C65" s="63"/>
      <c r="D65" s="63"/>
      <c r="E65" s="121"/>
      <c r="F65" s="121"/>
      <c r="G65" s="101"/>
      <c r="H65" s="101"/>
      <c r="I65" s="101"/>
      <c r="J65" s="101"/>
      <c r="K65" s="101"/>
      <c r="L65" s="109"/>
      <c r="M65" s="109"/>
      <c r="N65" s="109"/>
      <c r="O65" s="109"/>
      <c r="P65" s="109"/>
      <c r="Q65" s="6">
        <f t="shared" si="6"/>
        <v>0</v>
      </c>
      <c r="R65" s="121"/>
      <c r="S65" s="121"/>
      <c r="T65" s="101"/>
      <c r="U65" s="101"/>
      <c r="V65" s="101"/>
      <c r="W65" s="101"/>
      <c r="X65" s="101"/>
      <c r="Y65" s="109"/>
      <c r="Z65" s="109"/>
      <c r="AA65" s="109"/>
      <c r="AB65" s="109"/>
      <c r="AC65" s="109"/>
      <c r="AD65" s="6">
        <f t="shared" si="11"/>
        <v>0</v>
      </c>
    </row>
    <row r="66" spans="1:30" ht="15" thickBot="1">
      <c r="A66" s="110" t="s">
        <v>125</v>
      </c>
      <c r="B66" s="103" t="s">
        <v>119</v>
      </c>
      <c r="C66" s="63"/>
      <c r="D66" s="63"/>
      <c r="E66" s="121">
        <v>1</v>
      </c>
      <c r="F66" s="121"/>
      <c r="G66" s="101"/>
      <c r="H66" s="101"/>
      <c r="I66" s="101"/>
      <c r="J66" s="101"/>
      <c r="K66" s="101"/>
      <c r="L66" s="109"/>
      <c r="M66" s="109"/>
      <c r="N66" s="109"/>
      <c r="O66" s="109"/>
      <c r="P66" s="109"/>
      <c r="Q66" s="6">
        <f t="shared" si="6"/>
        <v>1</v>
      </c>
      <c r="R66" s="121">
        <v>1</v>
      </c>
      <c r="S66" s="121"/>
      <c r="T66" s="101"/>
      <c r="U66" s="101"/>
      <c r="V66" s="101"/>
      <c r="W66" s="101"/>
      <c r="X66" s="101"/>
      <c r="Y66" s="109"/>
      <c r="Z66" s="109"/>
      <c r="AA66" s="109"/>
      <c r="AB66" s="109"/>
      <c r="AC66" s="109"/>
      <c r="AD66" s="6">
        <f t="shared" si="11"/>
        <v>1</v>
      </c>
    </row>
    <row r="67" spans="1:30" ht="15" thickBot="1">
      <c r="A67" s="110" t="s">
        <v>125</v>
      </c>
      <c r="B67" s="103" t="s">
        <v>120</v>
      </c>
      <c r="C67" s="63"/>
      <c r="D67" s="63"/>
      <c r="E67" s="121"/>
      <c r="F67" s="121">
        <v>1</v>
      </c>
      <c r="G67" s="101"/>
      <c r="H67" s="101"/>
      <c r="I67" s="101"/>
      <c r="J67" s="101"/>
      <c r="K67" s="101"/>
      <c r="L67" s="109"/>
      <c r="M67" s="109"/>
      <c r="N67" s="109"/>
      <c r="O67" s="109"/>
      <c r="P67" s="109"/>
      <c r="Q67" s="6">
        <f t="shared" si="6"/>
        <v>1</v>
      </c>
      <c r="R67" s="121"/>
      <c r="S67" s="121">
        <v>1</v>
      </c>
      <c r="T67" s="101"/>
      <c r="U67" s="101"/>
      <c r="V67" s="101"/>
      <c r="W67" s="101"/>
      <c r="X67" s="101"/>
      <c r="Y67" s="109"/>
      <c r="Z67" s="109"/>
      <c r="AA67" s="109"/>
      <c r="AB67" s="109"/>
      <c r="AC67" s="109"/>
      <c r="AD67" s="6">
        <f t="shared" si="11"/>
        <v>1</v>
      </c>
    </row>
    <row r="68" spans="1:30" ht="15" thickBot="1">
      <c r="A68" s="110" t="s">
        <v>125</v>
      </c>
      <c r="B68" s="103" t="s">
        <v>121</v>
      </c>
      <c r="C68" s="63"/>
      <c r="D68" s="63"/>
      <c r="E68" s="121"/>
      <c r="F68" s="121"/>
      <c r="G68" s="101"/>
      <c r="H68" s="101"/>
      <c r="I68" s="101"/>
      <c r="J68" s="101"/>
      <c r="K68" s="101"/>
      <c r="L68" s="109"/>
      <c r="M68" s="109"/>
      <c r="N68" s="109"/>
      <c r="O68" s="109"/>
      <c r="P68" s="109"/>
      <c r="Q68" s="6">
        <f t="shared" si="6"/>
        <v>0</v>
      </c>
      <c r="R68" s="121"/>
      <c r="S68" s="121"/>
      <c r="T68" s="101"/>
      <c r="U68" s="101"/>
      <c r="V68" s="101"/>
      <c r="W68" s="101"/>
      <c r="X68" s="101"/>
      <c r="Y68" s="109"/>
      <c r="Z68" s="109"/>
      <c r="AA68" s="109"/>
      <c r="AB68" s="109"/>
      <c r="AC68" s="109"/>
      <c r="AD68" s="6">
        <f t="shared" si="11"/>
        <v>0</v>
      </c>
    </row>
    <row r="69" spans="1:30" ht="15" thickBot="1">
      <c r="A69" s="110" t="s">
        <v>125</v>
      </c>
      <c r="B69" s="103" t="s">
        <v>122</v>
      </c>
      <c r="C69" s="63"/>
      <c r="D69" s="63"/>
      <c r="E69" s="121"/>
      <c r="F69" s="121"/>
      <c r="G69" s="101"/>
      <c r="H69" s="101"/>
      <c r="I69" s="101"/>
      <c r="J69" s="101"/>
      <c r="K69" s="101"/>
      <c r="L69" s="109"/>
      <c r="M69" s="109"/>
      <c r="N69" s="109"/>
      <c r="O69" s="109"/>
      <c r="P69" s="109"/>
      <c r="Q69" s="6">
        <f t="shared" si="6"/>
        <v>0</v>
      </c>
      <c r="R69" s="121"/>
      <c r="S69" s="121"/>
      <c r="T69" s="101"/>
      <c r="U69" s="101"/>
      <c r="V69" s="101"/>
      <c r="W69" s="101"/>
      <c r="X69" s="101"/>
      <c r="Y69" s="109"/>
      <c r="Z69" s="109"/>
      <c r="AA69" s="109"/>
      <c r="AB69" s="109"/>
      <c r="AC69" s="109"/>
      <c r="AD69" s="6">
        <f t="shared" si="11"/>
        <v>0</v>
      </c>
    </row>
    <row r="70" spans="1:30" ht="15" thickBot="1">
      <c r="A70" s="110" t="s">
        <v>125</v>
      </c>
      <c r="B70" s="103" t="s">
        <v>123</v>
      </c>
      <c r="C70" s="63"/>
      <c r="D70" s="63"/>
      <c r="E70" s="121"/>
      <c r="F70" s="121"/>
      <c r="G70" s="101"/>
      <c r="H70" s="101"/>
      <c r="I70" s="101"/>
      <c r="J70" s="101"/>
      <c r="K70" s="101"/>
      <c r="L70" s="109"/>
      <c r="M70" s="109"/>
      <c r="N70" s="109"/>
      <c r="O70" s="109"/>
      <c r="P70" s="109"/>
      <c r="Q70" s="6">
        <f t="shared" si="6"/>
        <v>0</v>
      </c>
      <c r="R70" s="121"/>
      <c r="S70" s="121"/>
      <c r="T70" s="101"/>
      <c r="U70" s="101"/>
      <c r="V70" s="101"/>
      <c r="W70" s="101"/>
      <c r="X70" s="101"/>
      <c r="Y70" s="109"/>
      <c r="Z70" s="109"/>
      <c r="AA70" s="109"/>
      <c r="AB70" s="109"/>
      <c r="AC70" s="109"/>
      <c r="AD70" s="6">
        <f t="shared" si="11"/>
        <v>0</v>
      </c>
    </row>
    <row r="71" spans="1:30" ht="15" thickBot="1">
      <c r="A71" s="110" t="s">
        <v>125</v>
      </c>
      <c r="B71" s="103" t="s">
        <v>124</v>
      </c>
      <c r="C71" s="63"/>
      <c r="D71" s="63"/>
      <c r="E71" s="121"/>
      <c r="F71" s="121"/>
      <c r="G71" s="101"/>
      <c r="H71" s="101"/>
      <c r="I71" s="101"/>
      <c r="J71" s="101"/>
      <c r="K71" s="101"/>
      <c r="L71" s="109"/>
      <c r="M71" s="109"/>
      <c r="N71" s="109"/>
      <c r="O71" s="109"/>
      <c r="P71" s="109"/>
      <c r="Q71" s="6">
        <f t="shared" si="6"/>
        <v>0</v>
      </c>
      <c r="R71" s="121"/>
      <c r="S71" s="121"/>
      <c r="T71" s="101"/>
      <c r="U71" s="101"/>
      <c r="V71" s="101"/>
      <c r="W71" s="101"/>
      <c r="X71" s="101"/>
      <c r="Y71" s="109"/>
      <c r="Z71" s="109"/>
      <c r="AA71" s="109"/>
      <c r="AB71" s="109"/>
      <c r="AC71" s="109"/>
      <c r="AD71" s="6">
        <f t="shared" si="11"/>
        <v>0</v>
      </c>
    </row>
    <row r="72" spans="1:31" s="65" customFormat="1" ht="15" thickBot="1">
      <c r="A72" s="196" t="s">
        <v>23</v>
      </c>
      <c r="B72" s="197"/>
      <c r="C72" s="45">
        <f>+D72/Metas!J26</f>
        <v>0.9325681492109039</v>
      </c>
      <c r="D72" s="19">
        <f>+Q72/AD72</f>
        <v>0.7647058823529411</v>
      </c>
      <c r="E72" s="14">
        <f>SUM(E62:E71)</f>
        <v>7</v>
      </c>
      <c r="F72" s="14">
        <f aca="true" t="shared" si="12" ref="F72:P72">SUM(F62:F71)</f>
        <v>6</v>
      </c>
      <c r="G72" s="14">
        <f t="shared" si="12"/>
        <v>0</v>
      </c>
      <c r="H72" s="14">
        <f t="shared" si="12"/>
        <v>0</v>
      </c>
      <c r="I72" s="14">
        <f t="shared" si="12"/>
        <v>0</v>
      </c>
      <c r="J72" s="14">
        <f t="shared" si="12"/>
        <v>0</v>
      </c>
      <c r="K72" s="14">
        <f t="shared" si="12"/>
        <v>0</v>
      </c>
      <c r="L72" s="14">
        <f t="shared" si="12"/>
        <v>0</v>
      </c>
      <c r="M72" s="14">
        <f t="shared" si="12"/>
        <v>0</v>
      </c>
      <c r="N72" s="14">
        <f t="shared" si="12"/>
        <v>0</v>
      </c>
      <c r="O72" s="14">
        <f t="shared" si="12"/>
        <v>0</v>
      </c>
      <c r="P72" s="14">
        <f t="shared" si="12"/>
        <v>0</v>
      </c>
      <c r="Q72" s="14">
        <f>SUM(Q62:Q71)</f>
        <v>13</v>
      </c>
      <c r="R72" s="14">
        <f>SUM(R62:R71)</f>
        <v>9</v>
      </c>
      <c r="S72" s="14">
        <f aca="true" t="shared" si="13" ref="S72:AC72">SUM(S62:S71)</f>
        <v>8</v>
      </c>
      <c r="T72" s="14">
        <f t="shared" si="13"/>
        <v>0</v>
      </c>
      <c r="U72" s="14">
        <f t="shared" si="13"/>
        <v>0</v>
      </c>
      <c r="V72" s="14">
        <f t="shared" si="13"/>
        <v>0</v>
      </c>
      <c r="W72" s="14">
        <f t="shared" si="13"/>
        <v>0</v>
      </c>
      <c r="X72" s="14">
        <f t="shared" si="13"/>
        <v>0</v>
      </c>
      <c r="Y72" s="14">
        <f t="shared" si="13"/>
        <v>0</v>
      </c>
      <c r="Z72" s="14">
        <f t="shared" si="13"/>
        <v>0</v>
      </c>
      <c r="AA72" s="14">
        <f t="shared" si="13"/>
        <v>0</v>
      </c>
      <c r="AB72" s="14">
        <f t="shared" si="13"/>
        <v>0</v>
      </c>
      <c r="AC72" s="14">
        <f t="shared" si="13"/>
        <v>0</v>
      </c>
      <c r="AD72" s="14">
        <f>SUM(AD62:AD71)</f>
        <v>17</v>
      </c>
      <c r="AE72" s="69"/>
    </row>
    <row r="73" spans="1:30" ht="15" thickBot="1">
      <c r="A73" s="110" t="s">
        <v>131</v>
      </c>
      <c r="B73" s="103" t="s">
        <v>126</v>
      </c>
      <c r="C73" s="63"/>
      <c r="D73" s="63"/>
      <c r="E73" s="121"/>
      <c r="F73" s="121">
        <v>7</v>
      </c>
      <c r="G73" s="101"/>
      <c r="H73" s="101"/>
      <c r="I73" s="101"/>
      <c r="J73" s="101"/>
      <c r="K73" s="101"/>
      <c r="L73" s="109"/>
      <c r="M73" s="109"/>
      <c r="N73" s="109"/>
      <c r="O73" s="109"/>
      <c r="Q73" s="6">
        <f t="shared" si="6"/>
        <v>7</v>
      </c>
      <c r="R73" s="121"/>
      <c r="S73" s="121">
        <v>8</v>
      </c>
      <c r="T73" s="101"/>
      <c r="U73" s="101"/>
      <c r="V73" s="101"/>
      <c r="W73" s="101"/>
      <c r="X73" s="101"/>
      <c r="Y73" s="109"/>
      <c r="Z73" s="109"/>
      <c r="AA73" s="109"/>
      <c r="AB73" s="109"/>
      <c r="AC73" s="109"/>
      <c r="AD73" s="6">
        <f t="shared" si="11"/>
        <v>8</v>
      </c>
    </row>
    <row r="74" spans="1:30" ht="15" thickBot="1">
      <c r="A74" s="110" t="s">
        <v>131</v>
      </c>
      <c r="B74" s="103" t="s">
        <v>127</v>
      </c>
      <c r="C74" s="63"/>
      <c r="D74" s="63"/>
      <c r="E74" s="121"/>
      <c r="F74" s="121"/>
      <c r="G74" s="101"/>
      <c r="H74" s="101"/>
      <c r="I74" s="101"/>
      <c r="J74" s="101"/>
      <c r="K74" s="101"/>
      <c r="L74" s="109"/>
      <c r="M74" s="109"/>
      <c r="N74" s="109"/>
      <c r="O74" s="109"/>
      <c r="Q74" s="6">
        <f t="shared" si="6"/>
        <v>0</v>
      </c>
      <c r="R74" s="121"/>
      <c r="S74" s="121"/>
      <c r="T74" s="101"/>
      <c r="U74" s="101"/>
      <c r="V74" s="101"/>
      <c r="W74" s="101"/>
      <c r="X74" s="101"/>
      <c r="Y74" s="109"/>
      <c r="Z74" s="109"/>
      <c r="AA74" s="109"/>
      <c r="AB74" s="109"/>
      <c r="AC74" s="109"/>
      <c r="AD74" s="6">
        <f t="shared" si="11"/>
        <v>0</v>
      </c>
    </row>
    <row r="75" spans="1:30" ht="15" thickBot="1">
      <c r="A75" s="110" t="s">
        <v>131</v>
      </c>
      <c r="B75" s="103" t="s">
        <v>128</v>
      </c>
      <c r="C75" s="63"/>
      <c r="D75" s="63"/>
      <c r="E75" s="121"/>
      <c r="F75" s="121"/>
      <c r="G75" s="101"/>
      <c r="H75" s="101"/>
      <c r="I75" s="101"/>
      <c r="J75" s="101"/>
      <c r="K75" s="101"/>
      <c r="L75" s="109"/>
      <c r="M75" s="109"/>
      <c r="N75" s="109"/>
      <c r="O75" s="109"/>
      <c r="Q75" s="6">
        <f t="shared" si="6"/>
        <v>0</v>
      </c>
      <c r="R75" s="121"/>
      <c r="S75" s="121"/>
      <c r="T75" s="101"/>
      <c r="U75" s="101"/>
      <c r="V75" s="101"/>
      <c r="W75" s="101"/>
      <c r="X75" s="101"/>
      <c r="Y75" s="109"/>
      <c r="Z75" s="109"/>
      <c r="AA75" s="109"/>
      <c r="AB75" s="109"/>
      <c r="AC75" s="109"/>
      <c r="AD75" s="6">
        <f t="shared" si="11"/>
        <v>0</v>
      </c>
    </row>
    <row r="76" spans="1:30" ht="15" thickBot="1">
      <c r="A76" s="110" t="s">
        <v>131</v>
      </c>
      <c r="B76" s="103" t="s">
        <v>129</v>
      </c>
      <c r="C76" s="63"/>
      <c r="D76" s="63"/>
      <c r="E76" s="121"/>
      <c r="F76" s="121"/>
      <c r="G76" s="101"/>
      <c r="H76" s="101"/>
      <c r="I76" s="101"/>
      <c r="J76" s="101"/>
      <c r="K76" s="101"/>
      <c r="L76" s="109"/>
      <c r="M76" s="109"/>
      <c r="N76" s="109"/>
      <c r="O76" s="109"/>
      <c r="Q76" s="6">
        <f t="shared" si="6"/>
        <v>0</v>
      </c>
      <c r="R76" s="121"/>
      <c r="S76" s="121"/>
      <c r="T76" s="101"/>
      <c r="U76" s="101"/>
      <c r="V76" s="101"/>
      <c r="W76" s="101"/>
      <c r="X76" s="101"/>
      <c r="Y76" s="109"/>
      <c r="Z76" s="109"/>
      <c r="AA76" s="109"/>
      <c r="AB76" s="109"/>
      <c r="AC76" s="109"/>
      <c r="AD76" s="6">
        <f t="shared" si="11"/>
        <v>0</v>
      </c>
    </row>
    <row r="77" spans="1:30" ht="15" thickBot="1">
      <c r="A77" s="110" t="s">
        <v>131</v>
      </c>
      <c r="B77" s="103" t="s">
        <v>130</v>
      </c>
      <c r="C77" s="63"/>
      <c r="D77" s="63"/>
      <c r="E77" s="121"/>
      <c r="F77" s="121"/>
      <c r="G77" s="101"/>
      <c r="H77" s="101"/>
      <c r="I77" s="101"/>
      <c r="J77" s="101"/>
      <c r="K77" s="101"/>
      <c r="L77" s="109"/>
      <c r="M77" s="109"/>
      <c r="N77" s="109"/>
      <c r="O77" s="109"/>
      <c r="Q77" s="6">
        <f t="shared" si="6"/>
        <v>0</v>
      </c>
      <c r="R77" s="121"/>
      <c r="S77" s="121"/>
      <c r="T77" s="101"/>
      <c r="U77" s="101"/>
      <c r="V77" s="101"/>
      <c r="W77" s="101"/>
      <c r="X77" s="101"/>
      <c r="Y77" s="109"/>
      <c r="Z77" s="109"/>
      <c r="AA77" s="109"/>
      <c r="AB77" s="109"/>
      <c r="AC77" s="109"/>
      <c r="AD77" s="6">
        <f t="shared" si="11"/>
        <v>0</v>
      </c>
    </row>
    <row r="78" spans="1:31" s="65" customFormat="1" ht="15" thickBot="1">
      <c r="A78" s="196" t="s">
        <v>204</v>
      </c>
      <c r="B78" s="197"/>
      <c r="C78" s="45">
        <f>+D78/Metas!J31</f>
        <v>1.0670731707317074</v>
      </c>
      <c r="D78" s="19">
        <f>+Q78/AD78</f>
        <v>0.875</v>
      </c>
      <c r="E78" s="14">
        <f>SUM(E73:E77)</f>
        <v>0</v>
      </c>
      <c r="F78" s="14">
        <f aca="true" t="shared" si="14" ref="F78:P78">SUM(F73:F77)</f>
        <v>7</v>
      </c>
      <c r="G78" s="14">
        <f t="shared" si="14"/>
        <v>0</v>
      </c>
      <c r="H78" s="14">
        <f t="shared" si="14"/>
        <v>0</v>
      </c>
      <c r="I78" s="14">
        <f t="shared" si="14"/>
        <v>0</v>
      </c>
      <c r="J78" s="14">
        <f t="shared" si="14"/>
        <v>0</v>
      </c>
      <c r="K78" s="14">
        <f t="shared" si="14"/>
        <v>0</v>
      </c>
      <c r="L78" s="14">
        <f t="shared" si="14"/>
        <v>0</v>
      </c>
      <c r="M78" s="14">
        <f t="shared" si="14"/>
        <v>0</v>
      </c>
      <c r="N78" s="14">
        <f t="shared" si="14"/>
        <v>0</v>
      </c>
      <c r="O78" s="14">
        <f t="shared" si="14"/>
        <v>0</v>
      </c>
      <c r="P78" s="14">
        <f t="shared" si="14"/>
        <v>0</v>
      </c>
      <c r="Q78" s="14">
        <f>SUM(Q73:Q77)</f>
        <v>7</v>
      </c>
      <c r="R78" s="14">
        <f>SUM(R73:R77)</f>
        <v>0</v>
      </c>
      <c r="S78" s="14">
        <f aca="true" t="shared" si="15" ref="S78:AC78">SUM(S73:S77)</f>
        <v>8</v>
      </c>
      <c r="T78" s="14">
        <f t="shared" si="15"/>
        <v>0</v>
      </c>
      <c r="U78" s="14">
        <f t="shared" si="15"/>
        <v>0</v>
      </c>
      <c r="V78" s="14">
        <f t="shared" si="15"/>
        <v>0</v>
      </c>
      <c r="W78" s="14">
        <f t="shared" si="15"/>
        <v>0</v>
      </c>
      <c r="X78" s="14">
        <f t="shared" si="15"/>
        <v>0</v>
      </c>
      <c r="Y78" s="14">
        <f t="shared" si="15"/>
        <v>0</v>
      </c>
      <c r="Z78" s="14">
        <f t="shared" si="15"/>
        <v>0</v>
      </c>
      <c r="AA78" s="14">
        <f t="shared" si="15"/>
        <v>0</v>
      </c>
      <c r="AB78" s="14">
        <f t="shared" si="15"/>
        <v>0</v>
      </c>
      <c r="AC78" s="14">
        <f t="shared" si="15"/>
        <v>0</v>
      </c>
      <c r="AD78" s="14">
        <f>SUM(AD73:AD77)</f>
        <v>8</v>
      </c>
      <c r="AE78" s="69"/>
    </row>
    <row r="79" spans="1:30" ht="15" thickBot="1">
      <c r="A79" s="110" t="s">
        <v>142</v>
      </c>
      <c r="B79" s="103" t="s">
        <v>132</v>
      </c>
      <c r="C79" s="63"/>
      <c r="D79" s="63"/>
      <c r="E79" s="76">
        <v>6</v>
      </c>
      <c r="F79" s="76">
        <v>5</v>
      </c>
      <c r="G79" s="64"/>
      <c r="H79" s="64"/>
      <c r="I79" s="64"/>
      <c r="J79" s="64"/>
      <c r="K79" s="64"/>
      <c r="Q79" s="6">
        <f t="shared" si="6"/>
        <v>11</v>
      </c>
      <c r="R79" s="121">
        <v>6</v>
      </c>
      <c r="S79" s="121">
        <v>6</v>
      </c>
      <c r="T79" s="101"/>
      <c r="U79" s="101"/>
      <c r="V79" s="101"/>
      <c r="W79" s="101"/>
      <c r="X79" s="101"/>
      <c r="Y79" s="109"/>
      <c r="Z79" s="109"/>
      <c r="AA79" s="109"/>
      <c r="AB79" s="109"/>
      <c r="AC79" s="109"/>
      <c r="AD79" s="6">
        <f t="shared" si="11"/>
        <v>12</v>
      </c>
    </row>
    <row r="80" spans="1:30" ht="15" thickBot="1">
      <c r="A80" s="110" t="s">
        <v>142</v>
      </c>
      <c r="B80" s="103" t="s">
        <v>133</v>
      </c>
      <c r="C80" s="63"/>
      <c r="D80" s="63"/>
      <c r="E80" s="76">
        <v>1</v>
      </c>
      <c r="G80" s="64"/>
      <c r="H80" s="64"/>
      <c r="I80" s="64"/>
      <c r="J80" s="64"/>
      <c r="K80" s="64"/>
      <c r="Q80" s="6">
        <f t="shared" si="6"/>
        <v>1</v>
      </c>
      <c r="R80" s="121">
        <v>1</v>
      </c>
      <c r="S80" s="121"/>
      <c r="T80" s="101"/>
      <c r="U80" s="101"/>
      <c r="V80" s="101"/>
      <c r="W80" s="101"/>
      <c r="X80" s="101"/>
      <c r="Y80" s="109"/>
      <c r="Z80" s="109"/>
      <c r="AA80" s="109"/>
      <c r="AB80" s="109"/>
      <c r="AC80" s="109"/>
      <c r="AD80" s="6">
        <f t="shared" si="11"/>
        <v>1</v>
      </c>
    </row>
    <row r="81" spans="1:30" ht="15" thickBot="1">
      <c r="A81" s="110" t="s">
        <v>142</v>
      </c>
      <c r="B81" s="103" t="s">
        <v>134</v>
      </c>
      <c r="C81" s="63"/>
      <c r="D81" s="63"/>
      <c r="G81" s="64"/>
      <c r="H81" s="64"/>
      <c r="I81" s="64"/>
      <c r="J81" s="64"/>
      <c r="K81" s="64"/>
      <c r="Q81" s="6">
        <f t="shared" si="6"/>
        <v>0</v>
      </c>
      <c r="R81" s="121"/>
      <c r="S81" s="121"/>
      <c r="T81" s="101"/>
      <c r="U81" s="101"/>
      <c r="V81" s="101"/>
      <c r="W81" s="101"/>
      <c r="X81" s="101"/>
      <c r="Y81" s="109"/>
      <c r="Z81" s="109"/>
      <c r="AA81" s="109"/>
      <c r="AB81" s="109"/>
      <c r="AC81" s="109"/>
      <c r="AD81" s="6">
        <f t="shared" si="11"/>
        <v>0</v>
      </c>
    </row>
    <row r="82" spans="1:30" ht="15" thickBot="1">
      <c r="A82" s="110" t="s">
        <v>142</v>
      </c>
      <c r="B82" s="103" t="s">
        <v>135</v>
      </c>
      <c r="C82" s="63"/>
      <c r="D82" s="63"/>
      <c r="E82" s="76">
        <v>1</v>
      </c>
      <c r="F82" s="76">
        <v>2</v>
      </c>
      <c r="G82" s="64"/>
      <c r="H82" s="64"/>
      <c r="I82" s="64"/>
      <c r="J82" s="64"/>
      <c r="K82" s="64"/>
      <c r="Q82" s="6">
        <f t="shared" si="6"/>
        <v>3</v>
      </c>
      <c r="R82" s="121">
        <v>3</v>
      </c>
      <c r="S82" s="121">
        <v>2</v>
      </c>
      <c r="T82" s="101"/>
      <c r="U82" s="101"/>
      <c r="V82" s="101"/>
      <c r="W82" s="101"/>
      <c r="X82" s="101"/>
      <c r="Y82" s="109"/>
      <c r="Z82" s="109"/>
      <c r="AA82" s="109"/>
      <c r="AB82" s="109"/>
      <c r="AC82" s="109"/>
      <c r="AD82" s="6">
        <f t="shared" si="11"/>
        <v>5</v>
      </c>
    </row>
    <row r="83" spans="1:30" ht="15" thickBot="1">
      <c r="A83" s="110" t="s">
        <v>142</v>
      </c>
      <c r="B83" s="103" t="s">
        <v>136</v>
      </c>
      <c r="C83" s="63"/>
      <c r="D83" s="63"/>
      <c r="F83" s="76">
        <v>1</v>
      </c>
      <c r="G83" s="64"/>
      <c r="H83" s="64"/>
      <c r="I83" s="64"/>
      <c r="J83" s="64"/>
      <c r="K83" s="64"/>
      <c r="Q83" s="6">
        <f t="shared" si="6"/>
        <v>1</v>
      </c>
      <c r="R83" s="121"/>
      <c r="S83" s="121">
        <v>1</v>
      </c>
      <c r="T83" s="101"/>
      <c r="U83" s="101"/>
      <c r="V83" s="101"/>
      <c r="W83" s="101"/>
      <c r="X83" s="101"/>
      <c r="Y83" s="109"/>
      <c r="Z83" s="109"/>
      <c r="AA83" s="109"/>
      <c r="AB83" s="109"/>
      <c r="AC83" s="109"/>
      <c r="AD83" s="6">
        <f t="shared" si="11"/>
        <v>1</v>
      </c>
    </row>
    <row r="84" spans="1:30" ht="15" thickBot="1">
      <c r="A84" s="110" t="s">
        <v>142</v>
      </c>
      <c r="B84" s="103" t="s">
        <v>137</v>
      </c>
      <c r="C84" s="63"/>
      <c r="D84" s="63"/>
      <c r="G84" s="64"/>
      <c r="H84" s="64"/>
      <c r="I84" s="64"/>
      <c r="J84" s="64"/>
      <c r="K84" s="64"/>
      <c r="Q84" s="6">
        <f t="shared" si="6"/>
        <v>0</v>
      </c>
      <c r="R84" s="121"/>
      <c r="S84" s="121"/>
      <c r="T84" s="101"/>
      <c r="U84" s="101"/>
      <c r="V84" s="101"/>
      <c r="W84" s="101"/>
      <c r="X84" s="101"/>
      <c r="Y84" s="109"/>
      <c r="Z84" s="109"/>
      <c r="AA84" s="109"/>
      <c r="AB84" s="109"/>
      <c r="AC84" s="109"/>
      <c r="AD84" s="6">
        <f t="shared" si="11"/>
        <v>0</v>
      </c>
    </row>
    <row r="85" spans="1:30" ht="15" thickBot="1">
      <c r="A85" s="110" t="s">
        <v>142</v>
      </c>
      <c r="B85" s="103" t="s">
        <v>138</v>
      </c>
      <c r="C85" s="63"/>
      <c r="D85" s="63"/>
      <c r="G85" s="64"/>
      <c r="H85" s="64"/>
      <c r="I85" s="64"/>
      <c r="J85" s="64"/>
      <c r="K85" s="64"/>
      <c r="Q85" s="6">
        <f t="shared" si="6"/>
        <v>0</v>
      </c>
      <c r="R85" s="121"/>
      <c r="S85" s="121"/>
      <c r="T85" s="101"/>
      <c r="U85" s="101"/>
      <c r="V85" s="101"/>
      <c r="W85" s="101"/>
      <c r="X85" s="101"/>
      <c r="Y85" s="109"/>
      <c r="Z85" s="109"/>
      <c r="AA85" s="109"/>
      <c r="AB85" s="109"/>
      <c r="AC85" s="109"/>
      <c r="AD85" s="6">
        <f t="shared" si="11"/>
        <v>0</v>
      </c>
    </row>
    <row r="86" spans="1:30" ht="15" thickBot="1">
      <c r="A86" s="110" t="s">
        <v>142</v>
      </c>
      <c r="B86" s="103" t="s">
        <v>139</v>
      </c>
      <c r="C86" s="63"/>
      <c r="D86" s="63"/>
      <c r="G86" s="64"/>
      <c r="H86" s="64"/>
      <c r="I86" s="64"/>
      <c r="J86" s="64"/>
      <c r="K86" s="64"/>
      <c r="Q86" s="6">
        <f t="shared" si="6"/>
        <v>0</v>
      </c>
      <c r="R86" s="121"/>
      <c r="S86" s="121"/>
      <c r="T86" s="101"/>
      <c r="U86" s="101"/>
      <c r="V86" s="101"/>
      <c r="W86" s="101"/>
      <c r="X86" s="101"/>
      <c r="Y86" s="109"/>
      <c r="Z86" s="109"/>
      <c r="AA86" s="109"/>
      <c r="AB86" s="109"/>
      <c r="AC86" s="109"/>
      <c r="AD86" s="6">
        <f t="shared" si="11"/>
        <v>0</v>
      </c>
    </row>
    <row r="87" spans="1:30" ht="15" thickBot="1">
      <c r="A87" s="110" t="s">
        <v>142</v>
      </c>
      <c r="B87" s="103" t="s">
        <v>140</v>
      </c>
      <c r="C87" s="63"/>
      <c r="D87" s="63"/>
      <c r="G87" s="64"/>
      <c r="H87" s="64"/>
      <c r="I87" s="64"/>
      <c r="J87" s="64"/>
      <c r="K87" s="64"/>
      <c r="Q87" s="6">
        <f t="shared" si="6"/>
        <v>0</v>
      </c>
      <c r="R87" s="121"/>
      <c r="S87" s="121"/>
      <c r="T87" s="101"/>
      <c r="U87" s="101"/>
      <c r="V87" s="101"/>
      <c r="W87" s="101"/>
      <c r="X87" s="101"/>
      <c r="Y87" s="109"/>
      <c r="Z87" s="109"/>
      <c r="AA87" s="109"/>
      <c r="AB87" s="109"/>
      <c r="AC87" s="109"/>
      <c r="AD87" s="6">
        <f t="shared" si="11"/>
        <v>0</v>
      </c>
    </row>
    <row r="88" spans="1:30" ht="15" thickBot="1">
      <c r="A88" s="110" t="s">
        <v>142</v>
      </c>
      <c r="B88" s="103" t="s">
        <v>141</v>
      </c>
      <c r="C88" s="63"/>
      <c r="D88" s="63"/>
      <c r="G88" s="64"/>
      <c r="H88" s="64"/>
      <c r="I88" s="64"/>
      <c r="J88" s="64"/>
      <c r="K88" s="64"/>
      <c r="Q88" s="6">
        <f t="shared" si="6"/>
        <v>0</v>
      </c>
      <c r="R88" s="121"/>
      <c r="S88" s="121"/>
      <c r="T88" s="101"/>
      <c r="U88" s="101"/>
      <c r="V88" s="101"/>
      <c r="W88" s="101"/>
      <c r="X88" s="101"/>
      <c r="Y88" s="109"/>
      <c r="Z88" s="109"/>
      <c r="AA88" s="109"/>
      <c r="AB88" s="109"/>
      <c r="AC88" s="109"/>
      <c r="AD88" s="6">
        <f t="shared" si="11"/>
        <v>0</v>
      </c>
    </row>
    <row r="89" spans="1:31" s="65" customFormat="1" ht="15" thickBot="1">
      <c r="A89" s="196" t="s">
        <v>205</v>
      </c>
      <c r="B89" s="197"/>
      <c r="C89" s="45">
        <f>+D89/Metas!J36</f>
        <v>0.9679370840895342</v>
      </c>
      <c r="D89" s="19">
        <f>+Q89/AD89</f>
        <v>0.8421052631578947</v>
      </c>
      <c r="E89" s="14">
        <f>SUM(E79:E88)</f>
        <v>8</v>
      </c>
      <c r="F89" s="14">
        <f aca="true" t="shared" si="16" ref="F89:P89">SUM(F79:F88)</f>
        <v>8</v>
      </c>
      <c r="G89" s="14">
        <f t="shared" si="16"/>
        <v>0</v>
      </c>
      <c r="H89" s="14">
        <f t="shared" si="16"/>
        <v>0</v>
      </c>
      <c r="I89" s="14">
        <f t="shared" si="16"/>
        <v>0</v>
      </c>
      <c r="J89" s="14">
        <f t="shared" si="16"/>
        <v>0</v>
      </c>
      <c r="K89" s="14">
        <f t="shared" si="16"/>
        <v>0</v>
      </c>
      <c r="L89" s="14">
        <f t="shared" si="16"/>
        <v>0</v>
      </c>
      <c r="M89" s="14">
        <f t="shared" si="16"/>
        <v>0</v>
      </c>
      <c r="N89" s="14">
        <f t="shared" si="16"/>
        <v>0</v>
      </c>
      <c r="O89" s="14">
        <f t="shared" si="16"/>
        <v>0</v>
      </c>
      <c r="P89" s="14">
        <f t="shared" si="16"/>
        <v>0</v>
      </c>
      <c r="Q89" s="14">
        <f>SUM(Q79:Q88)</f>
        <v>16</v>
      </c>
      <c r="R89" s="14">
        <f>SUM(R79:R88)</f>
        <v>10</v>
      </c>
      <c r="S89" s="14">
        <f aca="true" t="shared" si="17" ref="S89:AC89">SUM(S79:S88)</f>
        <v>9</v>
      </c>
      <c r="T89" s="14">
        <f t="shared" si="17"/>
        <v>0</v>
      </c>
      <c r="U89" s="14">
        <f t="shared" si="17"/>
        <v>0</v>
      </c>
      <c r="V89" s="14">
        <f t="shared" si="17"/>
        <v>0</v>
      </c>
      <c r="W89" s="14">
        <f t="shared" si="17"/>
        <v>0</v>
      </c>
      <c r="X89" s="14">
        <f t="shared" si="17"/>
        <v>0</v>
      </c>
      <c r="Y89" s="14">
        <f t="shared" si="17"/>
        <v>0</v>
      </c>
      <c r="Z89" s="14">
        <f t="shared" si="17"/>
        <v>0</v>
      </c>
      <c r="AA89" s="14">
        <f t="shared" si="17"/>
        <v>0</v>
      </c>
      <c r="AB89" s="14">
        <f t="shared" si="17"/>
        <v>0</v>
      </c>
      <c r="AC89" s="14">
        <f t="shared" si="17"/>
        <v>0</v>
      </c>
      <c r="AD89" s="14">
        <f>SUM(AD79:AD88)</f>
        <v>19</v>
      </c>
      <c r="AE89" s="69"/>
    </row>
    <row r="90" spans="1:30" ht="15" thickBot="1">
      <c r="A90" s="110" t="s">
        <v>159</v>
      </c>
      <c r="B90" s="103" t="s">
        <v>143</v>
      </c>
      <c r="C90" s="63"/>
      <c r="D90" s="63"/>
      <c r="E90" s="121">
        <v>2</v>
      </c>
      <c r="F90" s="121">
        <v>2</v>
      </c>
      <c r="G90" s="101"/>
      <c r="H90" s="101"/>
      <c r="I90" s="101"/>
      <c r="J90" s="101"/>
      <c r="K90" s="101"/>
      <c r="L90" s="109"/>
      <c r="M90" s="109"/>
      <c r="N90" s="109"/>
      <c r="O90" s="109"/>
      <c r="P90" s="109"/>
      <c r="Q90" s="6">
        <f aca="true" t="shared" si="18" ref="Q90:Q105">SUM(E90:P90)</f>
        <v>4</v>
      </c>
      <c r="R90" s="121">
        <v>2</v>
      </c>
      <c r="S90" s="121">
        <v>2</v>
      </c>
      <c r="T90" s="101"/>
      <c r="U90" s="101"/>
      <c r="V90" s="101"/>
      <c r="W90" s="101"/>
      <c r="X90" s="101"/>
      <c r="Y90" s="109"/>
      <c r="Z90" s="109"/>
      <c r="AA90" s="109"/>
      <c r="AB90" s="109"/>
      <c r="AD90" s="6">
        <f t="shared" si="11"/>
        <v>4</v>
      </c>
    </row>
    <row r="91" spans="1:30" ht="15" thickBot="1">
      <c r="A91" s="110" t="s">
        <v>159</v>
      </c>
      <c r="B91" s="103" t="s">
        <v>144</v>
      </c>
      <c r="C91" s="63"/>
      <c r="D91" s="63"/>
      <c r="E91" s="121">
        <v>29</v>
      </c>
      <c r="F91" s="121">
        <v>20</v>
      </c>
      <c r="G91" s="101"/>
      <c r="H91" s="101"/>
      <c r="I91" s="101"/>
      <c r="J91" s="101"/>
      <c r="K91" s="101"/>
      <c r="L91" s="109"/>
      <c r="M91" s="109"/>
      <c r="N91" s="109"/>
      <c r="O91" s="109"/>
      <c r="P91" s="109"/>
      <c r="Q91" s="6">
        <f t="shared" si="18"/>
        <v>49</v>
      </c>
      <c r="R91" s="121">
        <v>30</v>
      </c>
      <c r="S91" s="121">
        <v>27</v>
      </c>
      <c r="T91" s="101"/>
      <c r="U91" s="101"/>
      <c r="V91" s="101"/>
      <c r="W91" s="101"/>
      <c r="X91" s="101"/>
      <c r="Y91" s="109"/>
      <c r="Z91" s="109"/>
      <c r="AA91" s="109"/>
      <c r="AB91" s="109"/>
      <c r="AD91" s="6">
        <f t="shared" si="11"/>
        <v>57</v>
      </c>
    </row>
    <row r="92" spans="1:30" ht="15" thickBot="1">
      <c r="A92" s="110" t="s">
        <v>159</v>
      </c>
      <c r="B92" s="103" t="s">
        <v>145</v>
      </c>
      <c r="C92" s="63"/>
      <c r="D92" s="63"/>
      <c r="E92" s="121">
        <v>48</v>
      </c>
      <c r="F92" s="121">
        <v>28</v>
      </c>
      <c r="G92" s="101"/>
      <c r="H92" s="101"/>
      <c r="I92" s="101"/>
      <c r="J92" s="101"/>
      <c r="K92" s="101"/>
      <c r="L92" s="109"/>
      <c r="M92" s="109"/>
      <c r="N92" s="109"/>
      <c r="O92" s="109"/>
      <c r="P92" s="109"/>
      <c r="Q92" s="6">
        <f t="shared" si="18"/>
        <v>76</v>
      </c>
      <c r="R92" s="121">
        <v>57</v>
      </c>
      <c r="S92" s="121">
        <v>37</v>
      </c>
      <c r="T92" s="101"/>
      <c r="U92" s="101"/>
      <c r="V92" s="101"/>
      <c r="W92" s="101"/>
      <c r="X92" s="101"/>
      <c r="Y92" s="109"/>
      <c r="Z92" s="109"/>
      <c r="AA92" s="109"/>
      <c r="AB92" s="109"/>
      <c r="AD92" s="6">
        <f t="shared" si="11"/>
        <v>94</v>
      </c>
    </row>
    <row r="93" spans="1:30" ht="15" thickBot="1">
      <c r="A93" s="110" t="s">
        <v>159</v>
      </c>
      <c r="B93" s="103" t="s">
        <v>146</v>
      </c>
      <c r="C93" s="63"/>
      <c r="D93" s="63"/>
      <c r="E93" s="121">
        <v>5</v>
      </c>
      <c r="F93" s="121">
        <v>5</v>
      </c>
      <c r="G93" s="101"/>
      <c r="H93" s="101"/>
      <c r="I93" s="101"/>
      <c r="J93" s="101"/>
      <c r="K93" s="101"/>
      <c r="L93" s="109"/>
      <c r="M93" s="109"/>
      <c r="N93" s="109"/>
      <c r="O93" s="109"/>
      <c r="P93" s="109"/>
      <c r="Q93" s="6">
        <f t="shared" si="18"/>
        <v>10</v>
      </c>
      <c r="R93" s="121">
        <v>5</v>
      </c>
      <c r="S93" s="121">
        <v>6</v>
      </c>
      <c r="T93" s="101"/>
      <c r="U93" s="101"/>
      <c r="V93" s="101"/>
      <c r="W93" s="101"/>
      <c r="X93" s="101"/>
      <c r="Y93" s="109"/>
      <c r="Z93" s="109"/>
      <c r="AA93" s="109"/>
      <c r="AB93" s="109"/>
      <c r="AD93" s="6">
        <f t="shared" si="11"/>
        <v>11</v>
      </c>
    </row>
    <row r="94" spans="1:30" ht="15" thickBot="1">
      <c r="A94" s="110" t="s">
        <v>159</v>
      </c>
      <c r="B94" s="103" t="s">
        <v>147</v>
      </c>
      <c r="C94" s="63"/>
      <c r="D94" s="63"/>
      <c r="E94" s="121">
        <v>1</v>
      </c>
      <c r="F94" s="121"/>
      <c r="G94" s="101"/>
      <c r="H94" s="101"/>
      <c r="I94" s="101"/>
      <c r="J94" s="101"/>
      <c r="K94" s="101"/>
      <c r="L94" s="109"/>
      <c r="M94" s="109"/>
      <c r="N94" s="109"/>
      <c r="O94" s="109"/>
      <c r="P94" s="109"/>
      <c r="Q94" s="6">
        <f t="shared" si="18"/>
        <v>1</v>
      </c>
      <c r="R94" s="121">
        <v>1</v>
      </c>
      <c r="S94" s="121"/>
      <c r="T94" s="101"/>
      <c r="U94" s="101"/>
      <c r="V94" s="101"/>
      <c r="W94" s="101"/>
      <c r="X94" s="101"/>
      <c r="Y94" s="109"/>
      <c r="Z94" s="109"/>
      <c r="AA94" s="109"/>
      <c r="AB94" s="109"/>
      <c r="AD94" s="6">
        <f t="shared" si="11"/>
        <v>1</v>
      </c>
    </row>
    <row r="95" spans="1:30" ht="15" thickBot="1">
      <c r="A95" s="110" t="s">
        <v>159</v>
      </c>
      <c r="B95" s="103" t="s">
        <v>148</v>
      </c>
      <c r="C95" s="63"/>
      <c r="D95" s="63"/>
      <c r="E95" s="121">
        <v>1</v>
      </c>
      <c r="F95" s="121"/>
      <c r="G95" s="101"/>
      <c r="H95" s="101"/>
      <c r="I95" s="101"/>
      <c r="J95" s="101"/>
      <c r="K95" s="101"/>
      <c r="L95" s="109"/>
      <c r="M95" s="109"/>
      <c r="N95" s="109"/>
      <c r="O95" s="109"/>
      <c r="P95" s="109"/>
      <c r="Q95" s="6">
        <f t="shared" si="18"/>
        <v>1</v>
      </c>
      <c r="R95" s="121">
        <v>1</v>
      </c>
      <c r="S95" s="121"/>
      <c r="T95" s="101"/>
      <c r="U95" s="101"/>
      <c r="V95" s="101"/>
      <c r="W95" s="101"/>
      <c r="X95" s="101"/>
      <c r="Y95" s="109"/>
      <c r="Z95" s="109"/>
      <c r="AA95" s="109"/>
      <c r="AB95" s="109"/>
      <c r="AD95" s="6">
        <f t="shared" si="11"/>
        <v>1</v>
      </c>
    </row>
    <row r="96" spans="1:30" ht="15" thickBot="1">
      <c r="A96" s="110" t="s">
        <v>159</v>
      </c>
      <c r="B96" s="103" t="s">
        <v>149</v>
      </c>
      <c r="C96" s="63"/>
      <c r="D96" s="63"/>
      <c r="E96" s="121">
        <v>1</v>
      </c>
      <c r="F96" s="121"/>
      <c r="G96" s="101"/>
      <c r="H96" s="101"/>
      <c r="I96" s="101"/>
      <c r="J96" s="101"/>
      <c r="K96" s="101"/>
      <c r="L96" s="109"/>
      <c r="M96" s="109"/>
      <c r="N96" s="109"/>
      <c r="O96" s="109"/>
      <c r="P96" s="109"/>
      <c r="Q96" s="6">
        <f t="shared" si="18"/>
        <v>1</v>
      </c>
      <c r="R96" s="121">
        <v>1</v>
      </c>
      <c r="S96" s="121"/>
      <c r="T96" s="101"/>
      <c r="U96" s="101"/>
      <c r="V96" s="101"/>
      <c r="W96" s="101"/>
      <c r="X96" s="101"/>
      <c r="Y96" s="109"/>
      <c r="Z96" s="109"/>
      <c r="AA96" s="109"/>
      <c r="AB96" s="109"/>
      <c r="AD96" s="6">
        <f t="shared" si="11"/>
        <v>1</v>
      </c>
    </row>
    <row r="97" spans="1:30" ht="15" thickBot="1">
      <c r="A97" s="110" t="s">
        <v>159</v>
      </c>
      <c r="B97" s="103" t="s">
        <v>150</v>
      </c>
      <c r="C97" s="63"/>
      <c r="D97" s="63"/>
      <c r="E97" s="121">
        <v>1</v>
      </c>
      <c r="F97" s="121"/>
      <c r="G97" s="101"/>
      <c r="H97" s="101"/>
      <c r="I97" s="101"/>
      <c r="J97" s="101"/>
      <c r="K97" s="101"/>
      <c r="L97" s="109"/>
      <c r="M97" s="109"/>
      <c r="N97" s="109"/>
      <c r="O97" s="109"/>
      <c r="P97" s="109"/>
      <c r="Q97" s="6">
        <f t="shared" si="18"/>
        <v>1</v>
      </c>
      <c r="R97" s="121">
        <v>1</v>
      </c>
      <c r="S97" s="121"/>
      <c r="T97" s="101"/>
      <c r="U97" s="101"/>
      <c r="V97" s="101"/>
      <c r="W97" s="101"/>
      <c r="X97" s="101"/>
      <c r="Y97" s="109"/>
      <c r="Z97" s="109"/>
      <c r="AA97" s="109"/>
      <c r="AB97" s="109"/>
      <c r="AD97" s="6">
        <f t="shared" si="11"/>
        <v>1</v>
      </c>
    </row>
    <row r="98" spans="1:30" ht="15" thickBot="1">
      <c r="A98" s="110" t="s">
        <v>159</v>
      </c>
      <c r="B98" s="103" t="s">
        <v>151</v>
      </c>
      <c r="C98" s="63"/>
      <c r="D98" s="63"/>
      <c r="E98" s="121">
        <v>1</v>
      </c>
      <c r="F98" s="121"/>
      <c r="G98" s="101"/>
      <c r="H98" s="101"/>
      <c r="I98" s="101"/>
      <c r="J98" s="101"/>
      <c r="K98" s="101"/>
      <c r="L98" s="109"/>
      <c r="M98" s="109"/>
      <c r="N98" s="109"/>
      <c r="O98" s="109"/>
      <c r="P98" s="109"/>
      <c r="Q98" s="6">
        <f t="shared" si="18"/>
        <v>1</v>
      </c>
      <c r="R98" s="121">
        <v>2</v>
      </c>
      <c r="S98" s="121">
        <v>1</v>
      </c>
      <c r="T98" s="101"/>
      <c r="U98" s="101"/>
      <c r="V98" s="101"/>
      <c r="W98" s="101"/>
      <c r="X98" s="101"/>
      <c r="Y98" s="109"/>
      <c r="Z98" s="109"/>
      <c r="AA98" s="109"/>
      <c r="AB98" s="109"/>
      <c r="AD98" s="6">
        <f t="shared" si="11"/>
        <v>3</v>
      </c>
    </row>
    <row r="99" spans="1:30" ht="15" thickBot="1">
      <c r="A99" s="110" t="s">
        <v>159</v>
      </c>
      <c r="B99" s="103" t="s">
        <v>152</v>
      </c>
      <c r="C99" s="63"/>
      <c r="D99" s="63"/>
      <c r="E99" s="121"/>
      <c r="F99" s="121">
        <v>1</v>
      </c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6">
        <f t="shared" si="18"/>
        <v>1</v>
      </c>
      <c r="R99" s="121"/>
      <c r="S99" s="121">
        <v>1</v>
      </c>
      <c r="T99" s="109"/>
      <c r="U99" s="109"/>
      <c r="V99" s="109"/>
      <c r="W99" s="109"/>
      <c r="X99" s="109"/>
      <c r="Y99" s="109"/>
      <c r="Z99" s="109"/>
      <c r="AA99" s="109"/>
      <c r="AB99" s="109"/>
      <c r="AD99" s="6">
        <f t="shared" si="11"/>
        <v>1</v>
      </c>
    </row>
    <row r="100" spans="1:30" ht="15" thickBot="1">
      <c r="A100" s="110" t="s">
        <v>159</v>
      </c>
      <c r="B100" s="103" t="s">
        <v>153</v>
      </c>
      <c r="C100" s="63"/>
      <c r="D100" s="63"/>
      <c r="E100" s="121"/>
      <c r="F100" s="121"/>
      <c r="G100" s="101"/>
      <c r="H100" s="101"/>
      <c r="I100" s="101"/>
      <c r="J100" s="101"/>
      <c r="K100" s="101"/>
      <c r="L100" s="109"/>
      <c r="M100" s="109"/>
      <c r="N100" s="109"/>
      <c r="O100" s="109"/>
      <c r="P100" s="109"/>
      <c r="Q100" s="6">
        <f t="shared" si="18"/>
        <v>0</v>
      </c>
      <c r="R100" s="121"/>
      <c r="S100" s="121"/>
      <c r="T100" s="101"/>
      <c r="U100" s="101"/>
      <c r="V100" s="101"/>
      <c r="W100" s="101"/>
      <c r="X100" s="101"/>
      <c r="Y100" s="109"/>
      <c r="Z100" s="109"/>
      <c r="AA100" s="109"/>
      <c r="AB100" s="109"/>
      <c r="AD100" s="6">
        <f t="shared" si="11"/>
        <v>0</v>
      </c>
    </row>
    <row r="101" spans="1:30" ht="15" thickBot="1">
      <c r="A101" s="110" t="s">
        <v>159</v>
      </c>
      <c r="B101" s="103" t="s">
        <v>154</v>
      </c>
      <c r="C101" s="63"/>
      <c r="D101" s="63"/>
      <c r="E101" s="121"/>
      <c r="F101" s="121"/>
      <c r="G101" s="101"/>
      <c r="H101" s="101"/>
      <c r="I101" s="101"/>
      <c r="J101" s="101"/>
      <c r="K101" s="101"/>
      <c r="L101" s="109"/>
      <c r="M101" s="109"/>
      <c r="N101" s="109"/>
      <c r="O101" s="109"/>
      <c r="P101" s="109"/>
      <c r="Q101" s="6">
        <f t="shared" si="18"/>
        <v>0</v>
      </c>
      <c r="R101" s="121"/>
      <c r="S101" s="121"/>
      <c r="T101" s="101"/>
      <c r="U101" s="101"/>
      <c r="V101" s="101"/>
      <c r="W101" s="101"/>
      <c r="X101" s="101"/>
      <c r="Y101" s="109"/>
      <c r="Z101" s="109"/>
      <c r="AA101" s="109"/>
      <c r="AB101" s="109"/>
      <c r="AD101" s="6">
        <f t="shared" si="11"/>
        <v>0</v>
      </c>
    </row>
    <row r="102" spans="1:30" ht="15" thickBot="1">
      <c r="A102" s="110" t="s">
        <v>159</v>
      </c>
      <c r="B102" s="103" t="s">
        <v>155</v>
      </c>
      <c r="C102" s="63"/>
      <c r="D102" s="63"/>
      <c r="E102" s="121"/>
      <c r="F102" s="121">
        <v>2</v>
      </c>
      <c r="G102" s="101"/>
      <c r="H102" s="101"/>
      <c r="I102" s="101"/>
      <c r="J102" s="101"/>
      <c r="K102" s="101"/>
      <c r="L102" s="109"/>
      <c r="M102" s="109"/>
      <c r="N102" s="109"/>
      <c r="O102" s="109"/>
      <c r="P102" s="109"/>
      <c r="Q102" s="6">
        <f t="shared" si="18"/>
        <v>2</v>
      </c>
      <c r="R102" s="121"/>
      <c r="S102" s="121">
        <v>2</v>
      </c>
      <c r="T102" s="101"/>
      <c r="U102" s="101"/>
      <c r="V102" s="101"/>
      <c r="W102" s="101"/>
      <c r="X102" s="101"/>
      <c r="Y102" s="109"/>
      <c r="Z102" s="109"/>
      <c r="AA102" s="109"/>
      <c r="AB102" s="109"/>
      <c r="AD102" s="6">
        <f t="shared" si="11"/>
        <v>2</v>
      </c>
    </row>
    <row r="103" spans="1:30" ht="15" thickBot="1">
      <c r="A103" s="110" t="s">
        <v>159</v>
      </c>
      <c r="B103" s="103" t="s">
        <v>156</v>
      </c>
      <c r="C103" s="63"/>
      <c r="D103" s="63"/>
      <c r="E103" s="121">
        <v>1</v>
      </c>
      <c r="F103" s="121"/>
      <c r="G103" s="101"/>
      <c r="H103" s="101"/>
      <c r="I103" s="101"/>
      <c r="J103" s="101"/>
      <c r="K103" s="101"/>
      <c r="L103" s="109"/>
      <c r="M103" s="109"/>
      <c r="N103" s="109"/>
      <c r="O103" s="109"/>
      <c r="P103" s="109"/>
      <c r="Q103" s="6">
        <f t="shared" si="18"/>
        <v>1</v>
      </c>
      <c r="R103" s="121">
        <v>1</v>
      </c>
      <c r="S103" s="121"/>
      <c r="T103" s="101"/>
      <c r="U103" s="101"/>
      <c r="V103" s="101"/>
      <c r="W103" s="101"/>
      <c r="X103" s="101"/>
      <c r="Y103" s="109"/>
      <c r="Z103" s="109"/>
      <c r="AA103" s="109"/>
      <c r="AB103" s="109"/>
      <c r="AD103" s="6">
        <f t="shared" si="11"/>
        <v>1</v>
      </c>
    </row>
    <row r="104" spans="1:30" ht="15" thickBot="1">
      <c r="A104" s="110" t="s">
        <v>159</v>
      </c>
      <c r="B104" s="103" t="s">
        <v>157</v>
      </c>
      <c r="C104" s="63"/>
      <c r="D104" s="63"/>
      <c r="E104" s="121">
        <v>8</v>
      </c>
      <c r="F104" s="121">
        <v>6</v>
      </c>
      <c r="G104" s="101"/>
      <c r="H104" s="101"/>
      <c r="I104" s="101"/>
      <c r="J104" s="101"/>
      <c r="K104" s="101"/>
      <c r="L104" s="109"/>
      <c r="M104" s="109"/>
      <c r="N104" s="109"/>
      <c r="O104" s="109"/>
      <c r="P104" s="109"/>
      <c r="Q104" s="6">
        <f t="shared" si="18"/>
        <v>14</v>
      </c>
      <c r="R104" s="121">
        <v>10</v>
      </c>
      <c r="S104" s="121">
        <v>7</v>
      </c>
      <c r="T104" s="101"/>
      <c r="U104" s="101"/>
      <c r="V104" s="101"/>
      <c r="W104" s="101"/>
      <c r="X104" s="101"/>
      <c r="Y104" s="109"/>
      <c r="Z104" s="109"/>
      <c r="AA104" s="109"/>
      <c r="AB104" s="109"/>
      <c r="AD104" s="6">
        <f>SUM(R104:AC104)</f>
        <v>17</v>
      </c>
    </row>
    <row r="105" spans="1:30" ht="15" thickBot="1">
      <c r="A105" s="110" t="s">
        <v>159</v>
      </c>
      <c r="B105" s="103" t="s">
        <v>158</v>
      </c>
      <c r="C105" s="63"/>
      <c r="D105" s="63"/>
      <c r="E105" s="121">
        <v>4</v>
      </c>
      <c r="F105" s="121">
        <v>4</v>
      </c>
      <c r="G105" s="101"/>
      <c r="H105" s="101"/>
      <c r="I105" s="101"/>
      <c r="J105" s="101"/>
      <c r="K105" s="101"/>
      <c r="L105" s="109"/>
      <c r="M105" s="109"/>
      <c r="N105" s="109"/>
      <c r="O105" s="109"/>
      <c r="P105" s="109"/>
      <c r="Q105" s="6">
        <f t="shared" si="18"/>
        <v>8</v>
      </c>
      <c r="R105" s="121">
        <v>4</v>
      </c>
      <c r="S105" s="121">
        <v>4</v>
      </c>
      <c r="T105" s="101"/>
      <c r="U105" s="101"/>
      <c r="V105" s="101"/>
      <c r="W105" s="101"/>
      <c r="X105" s="101"/>
      <c r="Y105" s="109"/>
      <c r="Z105" s="109"/>
      <c r="AA105" s="109"/>
      <c r="AB105" s="109"/>
      <c r="AD105" s="6">
        <f>SUM(R105:AC105)</f>
        <v>8</v>
      </c>
    </row>
    <row r="106" spans="1:31" s="65" customFormat="1" ht="15" thickBot="1">
      <c r="A106" s="196" t="s">
        <v>206</v>
      </c>
      <c r="B106" s="197"/>
      <c r="C106" s="45">
        <f>+D106/Metas!J33</f>
        <v>0.967338113121657</v>
      </c>
      <c r="D106" s="19">
        <f>+Q106/AD106</f>
        <v>0.8415841584158416</v>
      </c>
      <c r="E106" s="14">
        <f aca="true" t="shared" si="19" ref="E106:AD106">SUM(E90:E105)</f>
        <v>102</v>
      </c>
      <c r="F106" s="14">
        <f t="shared" si="19"/>
        <v>68</v>
      </c>
      <c r="G106" s="14">
        <f t="shared" si="19"/>
        <v>0</v>
      </c>
      <c r="H106" s="14">
        <f t="shared" si="19"/>
        <v>0</v>
      </c>
      <c r="I106" s="14">
        <f t="shared" si="19"/>
        <v>0</v>
      </c>
      <c r="J106" s="14">
        <f t="shared" si="19"/>
        <v>0</v>
      </c>
      <c r="K106" s="14">
        <f t="shared" si="19"/>
        <v>0</v>
      </c>
      <c r="L106" s="14">
        <f t="shared" si="19"/>
        <v>0</v>
      </c>
      <c r="M106" s="14">
        <f t="shared" si="19"/>
        <v>0</v>
      </c>
      <c r="N106" s="14">
        <f t="shared" si="19"/>
        <v>0</v>
      </c>
      <c r="O106" s="14">
        <f t="shared" si="19"/>
        <v>0</v>
      </c>
      <c r="P106" s="14">
        <f t="shared" si="19"/>
        <v>0</v>
      </c>
      <c r="Q106" s="14">
        <f t="shared" si="19"/>
        <v>170</v>
      </c>
      <c r="R106" s="14">
        <f t="shared" si="19"/>
        <v>115</v>
      </c>
      <c r="S106" s="14">
        <f t="shared" si="19"/>
        <v>87</v>
      </c>
      <c r="T106" s="14">
        <f t="shared" si="19"/>
        <v>0</v>
      </c>
      <c r="U106" s="14">
        <f t="shared" si="19"/>
        <v>0</v>
      </c>
      <c r="V106" s="14">
        <f t="shared" si="19"/>
        <v>0</v>
      </c>
      <c r="W106" s="14">
        <f t="shared" si="19"/>
        <v>0</v>
      </c>
      <c r="X106" s="14">
        <f t="shared" si="19"/>
        <v>0</v>
      </c>
      <c r="Y106" s="14">
        <f t="shared" si="19"/>
        <v>0</v>
      </c>
      <c r="Z106" s="14">
        <f t="shared" si="19"/>
        <v>0</v>
      </c>
      <c r="AA106" s="14">
        <f t="shared" si="19"/>
        <v>0</v>
      </c>
      <c r="AB106" s="14">
        <f t="shared" si="19"/>
        <v>0</v>
      </c>
      <c r="AC106" s="14">
        <f t="shared" si="19"/>
        <v>0</v>
      </c>
      <c r="AD106" s="14">
        <f t="shared" si="19"/>
        <v>202</v>
      </c>
      <c r="AE106" s="69"/>
    </row>
    <row r="107" spans="1:30" ht="15" thickBot="1">
      <c r="A107" s="110" t="s">
        <v>172</v>
      </c>
      <c r="B107" s="103" t="s">
        <v>160</v>
      </c>
      <c r="C107" s="63"/>
      <c r="D107" s="63"/>
      <c r="G107" s="64"/>
      <c r="H107" s="64"/>
      <c r="I107" s="64"/>
      <c r="J107" s="64"/>
      <c r="K107" s="64"/>
      <c r="Q107" s="6">
        <f aca="true" t="shared" si="20" ref="Q107:Q144">SUM(E107:P107)</f>
        <v>0</v>
      </c>
      <c r="R107" s="121"/>
      <c r="S107" s="121"/>
      <c r="T107" s="101"/>
      <c r="U107" s="101"/>
      <c r="V107" s="101"/>
      <c r="W107" s="101"/>
      <c r="X107" s="101"/>
      <c r="Y107" s="109"/>
      <c r="Z107" s="109"/>
      <c r="AA107" s="109"/>
      <c r="AB107" s="109"/>
      <c r="AC107" s="109"/>
      <c r="AD107" s="6">
        <f t="shared" si="11"/>
        <v>0</v>
      </c>
    </row>
    <row r="108" spans="1:30" ht="15" thickBot="1">
      <c r="A108" s="110" t="s">
        <v>172</v>
      </c>
      <c r="B108" s="103" t="s">
        <v>161</v>
      </c>
      <c r="C108" s="63"/>
      <c r="D108" s="63"/>
      <c r="G108" s="64"/>
      <c r="H108" s="64"/>
      <c r="I108" s="64"/>
      <c r="J108" s="64"/>
      <c r="K108" s="64"/>
      <c r="Q108" s="6">
        <f t="shared" si="20"/>
        <v>0</v>
      </c>
      <c r="R108" s="121"/>
      <c r="S108" s="121"/>
      <c r="T108" s="101"/>
      <c r="U108" s="101"/>
      <c r="V108" s="101"/>
      <c r="W108" s="101"/>
      <c r="X108" s="101"/>
      <c r="Y108" s="109"/>
      <c r="Z108" s="109"/>
      <c r="AA108" s="109"/>
      <c r="AB108" s="109"/>
      <c r="AC108" s="109"/>
      <c r="AD108" s="6">
        <f t="shared" si="11"/>
        <v>0</v>
      </c>
    </row>
    <row r="109" spans="1:30" ht="15" thickBot="1">
      <c r="A109" s="110" t="s">
        <v>172</v>
      </c>
      <c r="B109" s="103" t="s">
        <v>162</v>
      </c>
      <c r="C109" s="63"/>
      <c r="D109" s="63"/>
      <c r="G109" s="64"/>
      <c r="H109" s="64"/>
      <c r="I109" s="64"/>
      <c r="J109" s="64"/>
      <c r="K109" s="64"/>
      <c r="Q109" s="6">
        <f t="shared" si="20"/>
        <v>0</v>
      </c>
      <c r="R109" s="121"/>
      <c r="S109" s="121"/>
      <c r="T109" s="101"/>
      <c r="U109" s="101"/>
      <c r="V109" s="101"/>
      <c r="W109" s="101"/>
      <c r="X109" s="101"/>
      <c r="Y109" s="109"/>
      <c r="Z109" s="109"/>
      <c r="AA109" s="109"/>
      <c r="AB109" s="109"/>
      <c r="AC109" s="109"/>
      <c r="AD109" s="6">
        <f t="shared" si="11"/>
        <v>0</v>
      </c>
    </row>
    <row r="110" spans="1:30" ht="15" thickBot="1">
      <c r="A110" s="110" t="s">
        <v>172</v>
      </c>
      <c r="B110" s="103" t="s">
        <v>163</v>
      </c>
      <c r="C110" s="63"/>
      <c r="D110" s="63"/>
      <c r="F110" s="76">
        <v>1</v>
      </c>
      <c r="G110" s="64"/>
      <c r="H110" s="64"/>
      <c r="I110" s="64"/>
      <c r="J110" s="64"/>
      <c r="K110" s="64"/>
      <c r="Q110" s="6">
        <f t="shared" si="20"/>
        <v>1</v>
      </c>
      <c r="R110" s="121">
        <v>1</v>
      </c>
      <c r="S110" s="121">
        <v>1</v>
      </c>
      <c r="T110" s="101"/>
      <c r="U110" s="101"/>
      <c r="V110" s="101"/>
      <c r="W110" s="101"/>
      <c r="X110" s="101"/>
      <c r="Y110" s="109"/>
      <c r="Z110" s="109"/>
      <c r="AA110" s="109"/>
      <c r="AB110" s="109"/>
      <c r="AC110" s="109"/>
      <c r="AD110" s="6">
        <f t="shared" si="11"/>
        <v>2</v>
      </c>
    </row>
    <row r="111" spans="1:30" ht="15" thickBot="1">
      <c r="A111" s="110" t="s">
        <v>172</v>
      </c>
      <c r="B111" s="103" t="s">
        <v>164</v>
      </c>
      <c r="C111" s="63"/>
      <c r="D111" s="63"/>
      <c r="G111" s="64"/>
      <c r="H111" s="64"/>
      <c r="I111" s="64"/>
      <c r="J111" s="64"/>
      <c r="K111" s="64"/>
      <c r="Q111" s="6">
        <f t="shared" si="20"/>
        <v>0</v>
      </c>
      <c r="R111" s="121"/>
      <c r="S111" s="121"/>
      <c r="T111" s="101"/>
      <c r="U111" s="101"/>
      <c r="V111" s="101"/>
      <c r="W111" s="101"/>
      <c r="X111" s="101"/>
      <c r="Y111" s="109"/>
      <c r="Z111" s="109"/>
      <c r="AA111" s="109"/>
      <c r="AB111" s="109"/>
      <c r="AC111" s="109"/>
      <c r="AD111" s="6">
        <f t="shared" si="11"/>
        <v>0</v>
      </c>
    </row>
    <row r="112" spans="1:30" ht="15" thickBot="1">
      <c r="A112" s="110" t="s">
        <v>172</v>
      </c>
      <c r="B112" s="103" t="s">
        <v>165</v>
      </c>
      <c r="C112" s="63"/>
      <c r="D112" s="63"/>
      <c r="G112" s="64"/>
      <c r="H112" s="64"/>
      <c r="I112" s="64"/>
      <c r="J112" s="64"/>
      <c r="K112" s="64"/>
      <c r="Q112" s="6">
        <f t="shared" si="20"/>
        <v>0</v>
      </c>
      <c r="R112" s="121"/>
      <c r="S112" s="121"/>
      <c r="T112" s="101"/>
      <c r="U112" s="101"/>
      <c r="V112" s="101"/>
      <c r="W112" s="101"/>
      <c r="X112" s="101"/>
      <c r="Y112" s="109"/>
      <c r="Z112" s="109"/>
      <c r="AA112" s="109"/>
      <c r="AB112" s="109"/>
      <c r="AC112" s="109"/>
      <c r="AD112" s="6">
        <f t="shared" si="11"/>
        <v>0</v>
      </c>
    </row>
    <row r="113" spans="1:30" ht="15" thickBot="1">
      <c r="A113" s="110" t="s">
        <v>172</v>
      </c>
      <c r="B113" s="103" t="s">
        <v>166</v>
      </c>
      <c r="C113" s="63"/>
      <c r="D113" s="63"/>
      <c r="E113" s="76">
        <v>1</v>
      </c>
      <c r="G113" s="64"/>
      <c r="H113" s="64"/>
      <c r="I113" s="64"/>
      <c r="J113" s="64"/>
      <c r="K113" s="64"/>
      <c r="Q113" s="6">
        <f t="shared" si="20"/>
        <v>1</v>
      </c>
      <c r="R113" s="121">
        <v>1</v>
      </c>
      <c r="S113" s="121"/>
      <c r="T113" s="101"/>
      <c r="U113" s="101"/>
      <c r="V113" s="101"/>
      <c r="W113" s="101"/>
      <c r="X113" s="101"/>
      <c r="Y113" s="109"/>
      <c r="Z113" s="109"/>
      <c r="AA113" s="109"/>
      <c r="AB113" s="109"/>
      <c r="AC113" s="109"/>
      <c r="AD113" s="6">
        <f t="shared" si="11"/>
        <v>1</v>
      </c>
    </row>
    <row r="114" spans="1:30" ht="15" thickBot="1">
      <c r="A114" s="110" t="s">
        <v>172</v>
      </c>
      <c r="B114" s="103" t="s">
        <v>167</v>
      </c>
      <c r="C114" s="63"/>
      <c r="D114" s="63"/>
      <c r="G114" s="64"/>
      <c r="H114" s="64"/>
      <c r="I114" s="64"/>
      <c r="J114" s="64"/>
      <c r="K114" s="64"/>
      <c r="Q114" s="6">
        <f t="shared" si="20"/>
        <v>0</v>
      </c>
      <c r="R114" s="121"/>
      <c r="S114" s="121"/>
      <c r="T114" s="101"/>
      <c r="U114" s="101"/>
      <c r="V114" s="101"/>
      <c r="W114" s="101"/>
      <c r="X114" s="101"/>
      <c r="Y114" s="109"/>
      <c r="Z114" s="109"/>
      <c r="AA114" s="109"/>
      <c r="AB114" s="109"/>
      <c r="AC114" s="109"/>
      <c r="AD114" s="6">
        <f t="shared" si="11"/>
        <v>0</v>
      </c>
    </row>
    <row r="115" spans="1:30" ht="15" thickBot="1">
      <c r="A115" s="110" t="s">
        <v>172</v>
      </c>
      <c r="B115" s="103" t="s">
        <v>168</v>
      </c>
      <c r="C115" s="63"/>
      <c r="D115" s="63"/>
      <c r="G115" s="64"/>
      <c r="H115" s="64"/>
      <c r="I115" s="64"/>
      <c r="J115" s="64"/>
      <c r="K115" s="64"/>
      <c r="Q115" s="6">
        <f t="shared" si="20"/>
        <v>0</v>
      </c>
      <c r="R115" s="121"/>
      <c r="S115" s="121"/>
      <c r="T115" s="101"/>
      <c r="U115" s="101"/>
      <c r="V115" s="101"/>
      <c r="W115" s="101"/>
      <c r="X115" s="101"/>
      <c r="Y115" s="109"/>
      <c r="Z115" s="109"/>
      <c r="AA115" s="109"/>
      <c r="AB115" s="109"/>
      <c r="AC115" s="109"/>
      <c r="AD115" s="6">
        <f t="shared" si="11"/>
        <v>0</v>
      </c>
    </row>
    <row r="116" spans="1:30" ht="15" thickBot="1">
      <c r="A116" s="110" t="s">
        <v>172</v>
      </c>
      <c r="B116" s="103" t="s">
        <v>169</v>
      </c>
      <c r="C116" s="63"/>
      <c r="D116" s="63"/>
      <c r="G116" s="64"/>
      <c r="H116" s="64"/>
      <c r="I116" s="64"/>
      <c r="J116" s="64"/>
      <c r="K116" s="64"/>
      <c r="Q116" s="6">
        <f t="shared" si="20"/>
        <v>0</v>
      </c>
      <c r="R116" s="121"/>
      <c r="S116" s="121"/>
      <c r="T116" s="101"/>
      <c r="U116" s="101"/>
      <c r="V116" s="101"/>
      <c r="W116" s="101"/>
      <c r="X116" s="101"/>
      <c r="Y116" s="109"/>
      <c r="Z116" s="109"/>
      <c r="AA116" s="109"/>
      <c r="AB116" s="109"/>
      <c r="AC116" s="109"/>
      <c r="AD116" s="6">
        <f t="shared" si="11"/>
        <v>0</v>
      </c>
    </row>
    <row r="117" spans="1:30" ht="15" thickBot="1">
      <c r="A117" s="110" t="s">
        <v>172</v>
      </c>
      <c r="B117" s="103" t="s">
        <v>170</v>
      </c>
      <c r="C117" s="63"/>
      <c r="D117" s="63"/>
      <c r="E117" s="76">
        <v>1</v>
      </c>
      <c r="G117" s="64"/>
      <c r="H117" s="64"/>
      <c r="I117" s="64"/>
      <c r="J117" s="64"/>
      <c r="K117" s="64"/>
      <c r="Q117" s="6">
        <f t="shared" si="20"/>
        <v>1</v>
      </c>
      <c r="R117" s="121">
        <v>1</v>
      </c>
      <c r="S117" s="121"/>
      <c r="T117" s="101"/>
      <c r="U117" s="101"/>
      <c r="V117" s="101"/>
      <c r="W117" s="101"/>
      <c r="X117" s="101"/>
      <c r="Y117" s="109"/>
      <c r="Z117" s="109"/>
      <c r="AA117" s="109"/>
      <c r="AB117" s="109"/>
      <c r="AC117" s="109"/>
      <c r="AD117" s="6">
        <f t="shared" si="11"/>
        <v>1</v>
      </c>
    </row>
    <row r="118" spans="1:30" ht="15" thickBot="1">
      <c r="A118" s="110" t="s">
        <v>172</v>
      </c>
      <c r="B118" s="103" t="s">
        <v>171</v>
      </c>
      <c r="C118" s="63"/>
      <c r="D118" s="63"/>
      <c r="G118" s="64"/>
      <c r="H118" s="64"/>
      <c r="I118" s="64"/>
      <c r="J118" s="64"/>
      <c r="K118" s="64"/>
      <c r="Q118" s="6">
        <f t="shared" si="20"/>
        <v>0</v>
      </c>
      <c r="R118" s="121"/>
      <c r="S118" s="121"/>
      <c r="T118" s="101"/>
      <c r="U118" s="101"/>
      <c r="V118" s="101"/>
      <c r="W118" s="101"/>
      <c r="X118" s="101"/>
      <c r="Y118" s="109"/>
      <c r="Z118" s="109"/>
      <c r="AA118" s="109"/>
      <c r="AB118" s="109"/>
      <c r="AC118" s="109"/>
      <c r="AD118" s="6">
        <f t="shared" si="11"/>
        <v>0</v>
      </c>
    </row>
    <row r="119" spans="1:31" s="65" customFormat="1" ht="15" thickBot="1">
      <c r="A119" s="196" t="s">
        <v>207</v>
      </c>
      <c r="B119" s="197"/>
      <c r="C119" s="45">
        <f>+D119/Metas!J27</f>
        <v>0.9146341463414634</v>
      </c>
      <c r="D119" s="19">
        <f>+Q119/AD119</f>
        <v>0.75</v>
      </c>
      <c r="E119" s="14">
        <f>SUM(E107:E118)</f>
        <v>2</v>
      </c>
      <c r="F119" s="14">
        <f aca="true" t="shared" si="21" ref="F119:P119">SUM(F107:F118)</f>
        <v>1</v>
      </c>
      <c r="G119" s="14">
        <f t="shared" si="21"/>
        <v>0</v>
      </c>
      <c r="H119" s="14">
        <f t="shared" si="21"/>
        <v>0</v>
      </c>
      <c r="I119" s="14">
        <f t="shared" si="21"/>
        <v>0</v>
      </c>
      <c r="J119" s="14">
        <f t="shared" si="21"/>
        <v>0</v>
      </c>
      <c r="K119" s="14">
        <f t="shared" si="21"/>
        <v>0</v>
      </c>
      <c r="L119" s="14">
        <f t="shared" si="21"/>
        <v>0</v>
      </c>
      <c r="M119" s="14">
        <f t="shared" si="21"/>
        <v>0</v>
      </c>
      <c r="N119" s="14">
        <f t="shared" si="21"/>
        <v>0</v>
      </c>
      <c r="O119" s="14">
        <f t="shared" si="21"/>
        <v>0</v>
      </c>
      <c r="P119" s="14">
        <f t="shared" si="21"/>
        <v>0</v>
      </c>
      <c r="Q119" s="14">
        <f>SUM(Q107:Q118)</f>
        <v>3</v>
      </c>
      <c r="R119" s="14">
        <f>SUM(R107:R118)</f>
        <v>3</v>
      </c>
      <c r="S119" s="14">
        <f aca="true" t="shared" si="22" ref="S119:AC119">SUM(S107:S118)</f>
        <v>1</v>
      </c>
      <c r="T119" s="14">
        <f t="shared" si="22"/>
        <v>0</v>
      </c>
      <c r="U119" s="14">
        <f t="shared" si="22"/>
        <v>0</v>
      </c>
      <c r="V119" s="14">
        <f t="shared" si="22"/>
        <v>0</v>
      </c>
      <c r="W119" s="14">
        <f t="shared" si="22"/>
        <v>0</v>
      </c>
      <c r="X119" s="14">
        <f t="shared" si="22"/>
        <v>0</v>
      </c>
      <c r="Y119" s="14">
        <f t="shared" si="22"/>
        <v>0</v>
      </c>
      <c r="Z119" s="14">
        <f t="shared" si="22"/>
        <v>0</v>
      </c>
      <c r="AA119" s="14">
        <f t="shared" si="22"/>
        <v>0</v>
      </c>
      <c r="AB119" s="14">
        <f t="shared" si="22"/>
        <v>0</v>
      </c>
      <c r="AC119" s="14">
        <f t="shared" si="22"/>
        <v>0</v>
      </c>
      <c r="AD119" s="14">
        <f>SUM(AD107:AD118)</f>
        <v>4</v>
      </c>
      <c r="AE119" s="69"/>
    </row>
    <row r="120" spans="1:30" ht="15" thickBot="1">
      <c r="A120" s="110" t="s">
        <v>186</v>
      </c>
      <c r="B120" s="103" t="s">
        <v>173</v>
      </c>
      <c r="C120" s="63"/>
      <c r="D120" s="63"/>
      <c r="E120" s="121">
        <v>6</v>
      </c>
      <c r="F120" s="121">
        <v>9</v>
      </c>
      <c r="G120" s="101"/>
      <c r="H120" s="101"/>
      <c r="I120" s="101"/>
      <c r="J120" s="101"/>
      <c r="K120" s="101"/>
      <c r="L120" s="109"/>
      <c r="M120" s="109"/>
      <c r="N120" s="109"/>
      <c r="O120" s="109"/>
      <c r="P120" s="109"/>
      <c r="Q120" s="6">
        <f t="shared" si="20"/>
        <v>15</v>
      </c>
      <c r="R120" s="121">
        <v>8</v>
      </c>
      <c r="S120" s="121">
        <v>11</v>
      </c>
      <c r="T120" s="101"/>
      <c r="U120" s="101"/>
      <c r="V120" s="101"/>
      <c r="W120" s="101"/>
      <c r="X120" s="101"/>
      <c r="Y120" s="109"/>
      <c r="Z120" s="109"/>
      <c r="AA120" s="109"/>
      <c r="AB120" s="109"/>
      <c r="AC120" s="109"/>
      <c r="AD120" s="6">
        <f t="shared" si="11"/>
        <v>19</v>
      </c>
    </row>
    <row r="121" spans="1:30" ht="15" thickBot="1">
      <c r="A121" s="110" t="s">
        <v>186</v>
      </c>
      <c r="B121" s="103" t="s">
        <v>174</v>
      </c>
      <c r="C121" s="63"/>
      <c r="D121" s="63"/>
      <c r="E121" s="121">
        <v>7</v>
      </c>
      <c r="F121" s="121">
        <v>2</v>
      </c>
      <c r="G121" s="101"/>
      <c r="H121" s="101"/>
      <c r="I121" s="101"/>
      <c r="J121" s="101"/>
      <c r="K121" s="101"/>
      <c r="L121" s="109"/>
      <c r="M121" s="109"/>
      <c r="N121" s="109"/>
      <c r="O121" s="109"/>
      <c r="P121" s="109"/>
      <c r="Q121" s="6">
        <f t="shared" si="20"/>
        <v>9</v>
      </c>
      <c r="R121" s="121">
        <v>9</v>
      </c>
      <c r="S121" s="121">
        <v>2</v>
      </c>
      <c r="T121" s="101"/>
      <c r="U121" s="101"/>
      <c r="V121" s="101"/>
      <c r="W121" s="101"/>
      <c r="X121" s="101"/>
      <c r="Y121" s="109"/>
      <c r="Z121" s="109"/>
      <c r="AA121" s="109"/>
      <c r="AB121" s="109"/>
      <c r="AC121" s="109"/>
      <c r="AD121" s="6">
        <f t="shared" si="11"/>
        <v>11</v>
      </c>
    </row>
    <row r="122" spans="1:30" ht="15" thickBot="1">
      <c r="A122" s="110" t="s">
        <v>186</v>
      </c>
      <c r="B122" s="103" t="s">
        <v>175</v>
      </c>
      <c r="C122" s="63"/>
      <c r="D122" s="63"/>
      <c r="E122" s="121">
        <v>4</v>
      </c>
      <c r="F122" s="121">
        <v>2</v>
      </c>
      <c r="G122" s="101"/>
      <c r="H122" s="101"/>
      <c r="I122" s="101"/>
      <c r="J122" s="101"/>
      <c r="K122" s="101"/>
      <c r="L122" s="109"/>
      <c r="M122" s="109"/>
      <c r="N122" s="109"/>
      <c r="O122" s="109"/>
      <c r="P122" s="109"/>
      <c r="Q122" s="6">
        <f t="shared" si="20"/>
        <v>6</v>
      </c>
      <c r="R122" s="121">
        <v>4</v>
      </c>
      <c r="S122" s="121">
        <v>3</v>
      </c>
      <c r="T122" s="101"/>
      <c r="U122" s="101"/>
      <c r="V122" s="101"/>
      <c r="W122" s="101"/>
      <c r="X122" s="101"/>
      <c r="Y122" s="109"/>
      <c r="Z122" s="109"/>
      <c r="AA122" s="109"/>
      <c r="AB122" s="109"/>
      <c r="AC122" s="109"/>
      <c r="AD122" s="6">
        <f t="shared" si="11"/>
        <v>7</v>
      </c>
    </row>
    <row r="123" spans="1:30" ht="15" thickBot="1">
      <c r="A123" s="110" t="s">
        <v>186</v>
      </c>
      <c r="B123" s="103" t="s">
        <v>176</v>
      </c>
      <c r="C123" s="63"/>
      <c r="D123" s="63"/>
      <c r="E123" s="121">
        <v>5</v>
      </c>
      <c r="F123" s="121">
        <v>9</v>
      </c>
      <c r="G123" s="101"/>
      <c r="H123" s="101"/>
      <c r="I123" s="101"/>
      <c r="J123" s="101"/>
      <c r="K123" s="101"/>
      <c r="L123" s="109"/>
      <c r="M123" s="109"/>
      <c r="N123" s="109"/>
      <c r="O123" s="109"/>
      <c r="P123" s="109"/>
      <c r="Q123" s="6">
        <f t="shared" si="20"/>
        <v>14</v>
      </c>
      <c r="R123" s="121">
        <v>5</v>
      </c>
      <c r="S123" s="121">
        <v>10</v>
      </c>
      <c r="T123" s="101"/>
      <c r="U123" s="101"/>
      <c r="V123" s="101"/>
      <c r="W123" s="101"/>
      <c r="X123" s="101"/>
      <c r="Y123" s="109"/>
      <c r="Z123" s="109"/>
      <c r="AA123" s="109"/>
      <c r="AB123" s="109"/>
      <c r="AC123" s="109"/>
      <c r="AD123" s="6">
        <f t="shared" si="11"/>
        <v>15</v>
      </c>
    </row>
    <row r="124" spans="1:30" ht="15" thickBot="1">
      <c r="A124" s="110" t="s">
        <v>186</v>
      </c>
      <c r="B124" s="103" t="s">
        <v>177</v>
      </c>
      <c r="C124" s="63"/>
      <c r="D124" s="63"/>
      <c r="E124" s="121"/>
      <c r="F124" s="121">
        <v>2</v>
      </c>
      <c r="G124" s="101"/>
      <c r="H124" s="101"/>
      <c r="I124" s="101"/>
      <c r="J124" s="101"/>
      <c r="K124" s="101"/>
      <c r="L124" s="109"/>
      <c r="M124" s="109"/>
      <c r="N124" s="109"/>
      <c r="O124" s="109"/>
      <c r="P124" s="109"/>
      <c r="Q124" s="6">
        <f t="shared" si="20"/>
        <v>2</v>
      </c>
      <c r="R124" s="121"/>
      <c r="S124" s="121">
        <v>2</v>
      </c>
      <c r="T124" s="101"/>
      <c r="U124" s="101"/>
      <c r="V124" s="101"/>
      <c r="W124" s="101"/>
      <c r="X124" s="101"/>
      <c r="Y124" s="109"/>
      <c r="Z124" s="109"/>
      <c r="AA124" s="109"/>
      <c r="AB124" s="109"/>
      <c r="AC124" s="109"/>
      <c r="AD124" s="6">
        <f t="shared" si="11"/>
        <v>2</v>
      </c>
    </row>
    <row r="125" spans="1:30" ht="15" thickBot="1">
      <c r="A125" s="110" t="s">
        <v>186</v>
      </c>
      <c r="B125" s="103" t="s">
        <v>178</v>
      </c>
      <c r="C125" s="63"/>
      <c r="D125" s="63"/>
      <c r="E125" s="121"/>
      <c r="F125" s="121">
        <v>1</v>
      </c>
      <c r="G125" s="101"/>
      <c r="H125" s="101"/>
      <c r="I125" s="101"/>
      <c r="J125" s="101"/>
      <c r="K125" s="101"/>
      <c r="L125" s="109"/>
      <c r="M125" s="109"/>
      <c r="N125" s="109"/>
      <c r="O125" s="109"/>
      <c r="P125" s="109"/>
      <c r="Q125" s="6">
        <f t="shared" si="20"/>
        <v>1</v>
      </c>
      <c r="R125" s="121"/>
      <c r="S125" s="121">
        <v>1</v>
      </c>
      <c r="T125" s="101"/>
      <c r="U125" s="101"/>
      <c r="V125" s="101"/>
      <c r="W125" s="101"/>
      <c r="X125" s="101"/>
      <c r="Y125" s="109"/>
      <c r="Z125" s="109"/>
      <c r="AA125" s="109"/>
      <c r="AB125" s="109"/>
      <c r="AC125" s="109"/>
      <c r="AD125" s="6">
        <f t="shared" si="11"/>
        <v>1</v>
      </c>
    </row>
    <row r="126" spans="1:30" ht="15" thickBot="1">
      <c r="A126" s="110" t="s">
        <v>186</v>
      </c>
      <c r="B126" s="103" t="s">
        <v>179</v>
      </c>
      <c r="C126" s="63"/>
      <c r="D126" s="63"/>
      <c r="E126" s="121">
        <v>1</v>
      </c>
      <c r="F126" s="121"/>
      <c r="G126" s="101"/>
      <c r="H126" s="101"/>
      <c r="I126" s="101"/>
      <c r="J126" s="101"/>
      <c r="K126" s="101"/>
      <c r="L126" s="109"/>
      <c r="M126" s="109"/>
      <c r="N126" s="109"/>
      <c r="O126" s="109"/>
      <c r="P126" s="109"/>
      <c r="Q126" s="6">
        <f t="shared" si="20"/>
        <v>1</v>
      </c>
      <c r="R126" s="121">
        <v>1</v>
      </c>
      <c r="S126" s="121"/>
      <c r="T126" s="101"/>
      <c r="U126" s="101"/>
      <c r="V126" s="101"/>
      <c r="W126" s="101"/>
      <c r="X126" s="101"/>
      <c r="Y126" s="109"/>
      <c r="Z126" s="109"/>
      <c r="AA126" s="109"/>
      <c r="AB126" s="109"/>
      <c r="AC126" s="109"/>
      <c r="AD126" s="6">
        <f aca="true" t="shared" si="23" ref="AD126:AD132">SUM(R126:AC126)</f>
        <v>1</v>
      </c>
    </row>
    <row r="127" spans="1:30" ht="15" thickBot="1">
      <c r="A127" s="110" t="s">
        <v>186</v>
      </c>
      <c r="B127" s="103" t="s">
        <v>180</v>
      </c>
      <c r="C127" s="63"/>
      <c r="D127" s="63"/>
      <c r="E127" s="121"/>
      <c r="F127" s="121"/>
      <c r="G127" s="101"/>
      <c r="H127" s="101"/>
      <c r="I127" s="101"/>
      <c r="J127" s="101"/>
      <c r="K127" s="101"/>
      <c r="L127" s="109"/>
      <c r="M127" s="109"/>
      <c r="N127" s="109"/>
      <c r="O127" s="109"/>
      <c r="P127" s="109"/>
      <c r="Q127" s="6">
        <f t="shared" si="20"/>
        <v>0</v>
      </c>
      <c r="R127" s="121"/>
      <c r="S127" s="121"/>
      <c r="T127" s="101"/>
      <c r="U127" s="101"/>
      <c r="V127" s="101"/>
      <c r="W127" s="101"/>
      <c r="X127" s="101"/>
      <c r="Y127" s="109"/>
      <c r="Z127" s="109"/>
      <c r="AA127" s="109"/>
      <c r="AB127" s="109"/>
      <c r="AC127" s="109"/>
      <c r="AD127" s="6">
        <f t="shared" si="23"/>
        <v>0</v>
      </c>
    </row>
    <row r="128" spans="1:30" ht="15" thickBot="1">
      <c r="A128" s="110" t="s">
        <v>186</v>
      </c>
      <c r="B128" s="103" t="s">
        <v>181</v>
      </c>
      <c r="C128" s="63"/>
      <c r="D128" s="63"/>
      <c r="E128" s="121"/>
      <c r="F128" s="121">
        <v>1</v>
      </c>
      <c r="G128" s="101"/>
      <c r="H128" s="101"/>
      <c r="I128" s="101"/>
      <c r="J128" s="101"/>
      <c r="K128" s="101"/>
      <c r="L128" s="109"/>
      <c r="M128" s="109"/>
      <c r="N128" s="109"/>
      <c r="O128" s="109"/>
      <c r="P128" s="109"/>
      <c r="Q128" s="6">
        <f t="shared" si="20"/>
        <v>1</v>
      </c>
      <c r="R128" s="121"/>
      <c r="S128" s="121">
        <v>1</v>
      </c>
      <c r="T128" s="101"/>
      <c r="U128" s="101"/>
      <c r="V128" s="101"/>
      <c r="W128" s="101"/>
      <c r="X128" s="101"/>
      <c r="Y128" s="109"/>
      <c r="Z128" s="109"/>
      <c r="AA128" s="109"/>
      <c r="AB128" s="109"/>
      <c r="AC128" s="109"/>
      <c r="AD128" s="6">
        <f t="shared" si="23"/>
        <v>1</v>
      </c>
    </row>
    <row r="129" spans="1:30" ht="15" thickBot="1">
      <c r="A129" s="110" t="s">
        <v>186</v>
      </c>
      <c r="B129" s="103" t="s">
        <v>182</v>
      </c>
      <c r="C129" s="63"/>
      <c r="D129" s="63"/>
      <c r="E129" s="121"/>
      <c r="F129" s="121"/>
      <c r="G129" s="101"/>
      <c r="H129" s="101"/>
      <c r="I129" s="101"/>
      <c r="J129" s="101"/>
      <c r="K129" s="101"/>
      <c r="L129" s="109"/>
      <c r="M129" s="109"/>
      <c r="N129" s="109"/>
      <c r="O129" s="109"/>
      <c r="P129" s="109"/>
      <c r="Q129" s="6">
        <f t="shared" si="20"/>
        <v>0</v>
      </c>
      <c r="R129" s="121"/>
      <c r="S129" s="121"/>
      <c r="T129" s="101"/>
      <c r="U129" s="101"/>
      <c r="V129" s="101"/>
      <c r="W129" s="101"/>
      <c r="X129" s="101"/>
      <c r="Y129" s="109"/>
      <c r="Z129" s="109"/>
      <c r="AA129" s="109"/>
      <c r="AB129" s="109"/>
      <c r="AC129" s="109"/>
      <c r="AD129" s="6">
        <f t="shared" si="23"/>
        <v>0</v>
      </c>
    </row>
    <row r="130" spans="1:30" ht="15" thickBot="1">
      <c r="A130" s="110" t="s">
        <v>186</v>
      </c>
      <c r="B130" s="103" t="s">
        <v>183</v>
      </c>
      <c r="C130" s="63"/>
      <c r="D130" s="63"/>
      <c r="E130" s="121"/>
      <c r="F130" s="121"/>
      <c r="G130" s="101"/>
      <c r="H130" s="101"/>
      <c r="I130" s="101"/>
      <c r="J130" s="101"/>
      <c r="K130" s="101"/>
      <c r="L130" s="109"/>
      <c r="M130" s="109"/>
      <c r="N130" s="109"/>
      <c r="O130" s="109"/>
      <c r="P130" s="109"/>
      <c r="Q130" s="6">
        <f t="shared" si="20"/>
        <v>0</v>
      </c>
      <c r="R130" s="121"/>
      <c r="S130" s="121"/>
      <c r="T130" s="101"/>
      <c r="U130" s="101"/>
      <c r="V130" s="101"/>
      <c r="W130" s="101"/>
      <c r="X130" s="101"/>
      <c r="Y130" s="109"/>
      <c r="Z130" s="109"/>
      <c r="AA130" s="109"/>
      <c r="AB130" s="109"/>
      <c r="AC130" s="109"/>
      <c r="AD130" s="6">
        <f t="shared" si="23"/>
        <v>0</v>
      </c>
    </row>
    <row r="131" spans="1:30" ht="15" thickBot="1">
      <c r="A131" s="110" t="s">
        <v>186</v>
      </c>
      <c r="B131" s="103" t="s">
        <v>184</v>
      </c>
      <c r="C131" s="63"/>
      <c r="D131" s="63"/>
      <c r="E131" s="121"/>
      <c r="F131" s="121"/>
      <c r="G131" s="101"/>
      <c r="H131" s="101"/>
      <c r="I131" s="101"/>
      <c r="J131" s="101"/>
      <c r="K131" s="101"/>
      <c r="L131" s="109"/>
      <c r="M131" s="109"/>
      <c r="N131" s="109"/>
      <c r="O131" s="109"/>
      <c r="P131" s="109"/>
      <c r="Q131" s="6">
        <f t="shared" si="20"/>
        <v>0</v>
      </c>
      <c r="R131" s="121"/>
      <c r="S131" s="121"/>
      <c r="T131" s="101"/>
      <c r="U131" s="101"/>
      <c r="V131" s="101"/>
      <c r="W131" s="101"/>
      <c r="X131" s="101"/>
      <c r="Y131" s="109"/>
      <c r="Z131" s="109"/>
      <c r="AA131" s="109"/>
      <c r="AB131" s="109"/>
      <c r="AC131" s="109"/>
      <c r="AD131" s="6">
        <f t="shared" si="23"/>
        <v>0</v>
      </c>
    </row>
    <row r="132" spans="1:30" ht="15" thickBot="1">
      <c r="A132" s="110" t="s">
        <v>186</v>
      </c>
      <c r="B132" s="103" t="s">
        <v>185</v>
      </c>
      <c r="C132" s="63"/>
      <c r="D132" s="63"/>
      <c r="E132" s="121"/>
      <c r="F132" s="121"/>
      <c r="G132" s="101"/>
      <c r="H132" s="101"/>
      <c r="I132" s="101"/>
      <c r="J132" s="101"/>
      <c r="K132" s="101"/>
      <c r="L132" s="109"/>
      <c r="M132" s="109"/>
      <c r="N132" s="109"/>
      <c r="O132" s="109"/>
      <c r="P132" s="109"/>
      <c r="Q132" s="6">
        <f t="shared" si="20"/>
        <v>0</v>
      </c>
      <c r="R132" s="121"/>
      <c r="S132" s="121"/>
      <c r="T132" s="101"/>
      <c r="U132" s="101"/>
      <c r="V132" s="101"/>
      <c r="W132" s="101"/>
      <c r="X132" s="101"/>
      <c r="Y132" s="109"/>
      <c r="Z132" s="109"/>
      <c r="AA132" s="109"/>
      <c r="AB132" s="109"/>
      <c r="AC132" s="109"/>
      <c r="AD132" s="6">
        <f t="shared" si="23"/>
        <v>0</v>
      </c>
    </row>
    <row r="133" spans="1:31" s="65" customFormat="1" ht="15" thickBot="1">
      <c r="A133" s="196" t="s">
        <v>208</v>
      </c>
      <c r="B133" s="197"/>
      <c r="C133" s="45">
        <f>+D133/Metas!J32</f>
        <v>0.9881024400080661</v>
      </c>
      <c r="D133" s="19">
        <f>+Q133/AD133</f>
        <v>0.8596491228070176</v>
      </c>
      <c r="E133" s="14">
        <f>SUM(E120:E132)</f>
        <v>23</v>
      </c>
      <c r="F133" s="14">
        <f aca="true" t="shared" si="24" ref="F133:P133">SUM(F120:F132)</f>
        <v>26</v>
      </c>
      <c r="G133" s="14">
        <f t="shared" si="24"/>
        <v>0</v>
      </c>
      <c r="H133" s="14">
        <f t="shared" si="24"/>
        <v>0</v>
      </c>
      <c r="I133" s="14">
        <f t="shared" si="24"/>
        <v>0</v>
      </c>
      <c r="J133" s="14">
        <f t="shared" si="24"/>
        <v>0</v>
      </c>
      <c r="K133" s="14">
        <f t="shared" si="24"/>
        <v>0</v>
      </c>
      <c r="L133" s="14">
        <f t="shared" si="24"/>
        <v>0</v>
      </c>
      <c r="M133" s="14">
        <f t="shared" si="24"/>
        <v>0</v>
      </c>
      <c r="N133" s="14">
        <f t="shared" si="24"/>
        <v>0</v>
      </c>
      <c r="O133" s="14">
        <f t="shared" si="24"/>
        <v>0</v>
      </c>
      <c r="P133" s="14">
        <f t="shared" si="24"/>
        <v>0</v>
      </c>
      <c r="Q133" s="14">
        <f>SUM(Q120:Q132)</f>
        <v>49</v>
      </c>
      <c r="R133" s="14">
        <f>SUM(R120:R132)</f>
        <v>27</v>
      </c>
      <c r="S133" s="14">
        <f aca="true" t="shared" si="25" ref="S133:AC133">SUM(S120:S132)</f>
        <v>30</v>
      </c>
      <c r="T133" s="14">
        <f t="shared" si="25"/>
        <v>0</v>
      </c>
      <c r="U133" s="14">
        <f t="shared" si="25"/>
        <v>0</v>
      </c>
      <c r="V133" s="14">
        <f t="shared" si="25"/>
        <v>0</v>
      </c>
      <c r="W133" s="14">
        <f t="shared" si="25"/>
        <v>0</v>
      </c>
      <c r="X133" s="14">
        <f t="shared" si="25"/>
        <v>0</v>
      </c>
      <c r="Y133" s="14">
        <f t="shared" si="25"/>
        <v>0</v>
      </c>
      <c r="Z133" s="14">
        <f t="shared" si="25"/>
        <v>0</v>
      </c>
      <c r="AA133" s="14">
        <f t="shared" si="25"/>
        <v>0</v>
      </c>
      <c r="AB133" s="14">
        <f t="shared" si="25"/>
        <v>0</v>
      </c>
      <c r="AC133" s="14">
        <f t="shared" si="25"/>
        <v>0</v>
      </c>
      <c r="AD133" s="14">
        <f>SUM(AD120:AD132)</f>
        <v>57</v>
      </c>
      <c r="AE133" s="69"/>
    </row>
    <row r="134" spans="1:30" ht="15" thickBot="1">
      <c r="A134" s="110" t="s">
        <v>191</v>
      </c>
      <c r="B134" s="103" t="s">
        <v>187</v>
      </c>
      <c r="C134" s="63"/>
      <c r="D134" s="63"/>
      <c r="E134" s="76">
        <v>5</v>
      </c>
      <c r="F134" s="76">
        <v>13</v>
      </c>
      <c r="G134" s="64"/>
      <c r="H134" s="64"/>
      <c r="I134" s="64"/>
      <c r="J134" s="64"/>
      <c r="K134" s="64"/>
      <c r="Q134" s="6">
        <f t="shared" si="20"/>
        <v>18</v>
      </c>
      <c r="R134" s="121">
        <v>7</v>
      </c>
      <c r="S134" s="121">
        <v>14</v>
      </c>
      <c r="T134" s="101"/>
      <c r="U134" s="101"/>
      <c r="V134" s="101"/>
      <c r="W134" s="101"/>
      <c r="X134" s="101"/>
      <c r="Y134" s="109"/>
      <c r="Z134" s="109"/>
      <c r="AA134" s="109"/>
      <c r="AB134" s="109"/>
      <c r="AC134" s="109"/>
      <c r="AD134" s="6">
        <f>SUM(R134:AC134)</f>
        <v>21</v>
      </c>
    </row>
    <row r="135" spans="1:30" ht="15" thickBot="1">
      <c r="A135" s="110" t="s">
        <v>191</v>
      </c>
      <c r="B135" s="103" t="s">
        <v>188</v>
      </c>
      <c r="C135" s="63"/>
      <c r="D135" s="63"/>
      <c r="G135" s="64"/>
      <c r="H135" s="64"/>
      <c r="I135" s="64"/>
      <c r="J135" s="64"/>
      <c r="K135" s="64"/>
      <c r="Q135" s="6">
        <f t="shared" si="20"/>
        <v>0</v>
      </c>
      <c r="R135" s="121"/>
      <c r="S135" s="121"/>
      <c r="T135" s="101"/>
      <c r="U135" s="101"/>
      <c r="V135" s="101"/>
      <c r="W135" s="101"/>
      <c r="X135" s="101"/>
      <c r="Y135" s="109"/>
      <c r="Z135" s="109"/>
      <c r="AA135" s="109"/>
      <c r="AB135" s="109"/>
      <c r="AC135" s="109"/>
      <c r="AD135" s="6">
        <f>SUM(R135:AC135)</f>
        <v>0</v>
      </c>
    </row>
    <row r="136" spans="1:30" ht="15" thickBot="1">
      <c r="A136" s="110" t="s">
        <v>191</v>
      </c>
      <c r="B136" s="103" t="s">
        <v>189</v>
      </c>
      <c r="C136" s="63"/>
      <c r="D136" s="63"/>
      <c r="G136" s="64"/>
      <c r="H136" s="64"/>
      <c r="I136" s="64"/>
      <c r="J136" s="64"/>
      <c r="K136" s="64"/>
      <c r="Q136" s="6">
        <f t="shared" si="20"/>
        <v>0</v>
      </c>
      <c r="R136" s="121"/>
      <c r="S136" s="121"/>
      <c r="T136" s="101"/>
      <c r="U136" s="101"/>
      <c r="V136" s="101"/>
      <c r="W136" s="101"/>
      <c r="X136" s="101"/>
      <c r="Y136" s="109"/>
      <c r="Z136" s="109"/>
      <c r="AA136" s="109"/>
      <c r="AB136" s="109"/>
      <c r="AC136" s="109"/>
      <c r="AD136" s="6">
        <f>SUM(R136:AC136)</f>
        <v>0</v>
      </c>
    </row>
    <row r="137" spans="1:30" ht="15" thickBot="1">
      <c r="A137" s="110" t="s">
        <v>191</v>
      </c>
      <c r="B137" s="103" t="s">
        <v>190</v>
      </c>
      <c r="C137" s="63"/>
      <c r="D137" s="63"/>
      <c r="G137" s="64"/>
      <c r="H137" s="64"/>
      <c r="I137" s="64"/>
      <c r="J137" s="64"/>
      <c r="K137" s="64"/>
      <c r="Q137" s="6">
        <f t="shared" si="20"/>
        <v>0</v>
      </c>
      <c r="R137" s="121"/>
      <c r="S137" s="121"/>
      <c r="T137" s="101"/>
      <c r="U137" s="101"/>
      <c r="V137" s="101"/>
      <c r="W137" s="101"/>
      <c r="X137" s="101"/>
      <c r="Y137" s="109"/>
      <c r="Z137" s="109"/>
      <c r="AA137" s="109"/>
      <c r="AB137" s="109"/>
      <c r="AC137" s="109"/>
      <c r="AD137" s="6">
        <f>SUM(R137:AC137)</f>
        <v>0</v>
      </c>
    </row>
    <row r="138" spans="1:31" s="65" customFormat="1" ht="15" thickBot="1">
      <c r="A138" s="196" t="s">
        <v>209</v>
      </c>
      <c r="B138" s="197"/>
      <c r="C138" s="45">
        <f>+D138/Metas!J34</f>
        <v>0.9523809523809523</v>
      </c>
      <c r="D138" s="19">
        <f>+Q138/AD138</f>
        <v>0.8571428571428571</v>
      </c>
      <c r="E138" s="14">
        <f>SUM(E134:E137)</f>
        <v>5</v>
      </c>
      <c r="F138" s="14">
        <f aca="true" t="shared" si="26" ref="F138:P138">SUM(F134:F137)</f>
        <v>13</v>
      </c>
      <c r="G138" s="14">
        <f t="shared" si="26"/>
        <v>0</v>
      </c>
      <c r="H138" s="14">
        <f t="shared" si="26"/>
        <v>0</v>
      </c>
      <c r="I138" s="14">
        <f t="shared" si="26"/>
        <v>0</v>
      </c>
      <c r="J138" s="14">
        <f t="shared" si="26"/>
        <v>0</v>
      </c>
      <c r="K138" s="14">
        <f t="shared" si="26"/>
        <v>0</v>
      </c>
      <c r="L138" s="14">
        <f t="shared" si="26"/>
        <v>0</v>
      </c>
      <c r="M138" s="14">
        <f t="shared" si="26"/>
        <v>0</v>
      </c>
      <c r="N138" s="14">
        <f t="shared" si="26"/>
        <v>0</v>
      </c>
      <c r="O138" s="14">
        <f t="shared" si="26"/>
        <v>0</v>
      </c>
      <c r="P138" s="14">
        <f t="shared" si="26"/>
        <v>0</v>
      </c>
      <c r="Q138" s="14">
        <f>SUM(Q134:Q137)</f>
        <v>18</v>
      </c>
      <c r="R138" s="14">
        <f>SUM(R134:R137)</f>
        <v>7</v>
      </c>
      <c r="S138" s="14">
        <f aca="true" t="shared" si="27" ref="S138:AC138">SUM(S134:S137)</f>
        <v>14</v>
      </c>
      <c r="T138" s="14">
        <f t="shared" si="27"/>
        <v>0</v>
      </c>
      <c r="U138" s="14">
        <f t="shared" si="27"/>
        <v>0</v>
      </c>
      <c r="V138" s="14">
        <f t="shared" si="27"/>
        <v>0</v>
      </c>
      <c r="W138" s="14">
        <f t="shared" si="27"/>
        <v>0</v>
      </c>
      <c r="X138" s="14">
        <f t="shared" si="27"/>
        <v>0</v>
      </c>
      <c r="Y138" s="14">
        <f t="shared" si="27"/>
        <v>0</v>
      </c>
      <c r="Z138" s="14">
        <f t="shared" si="27"/>
        <v>0</v>
      </c>
      <c r="AA138" s="14">
        <f t="shared" si="27"/>
        <v>0</v>
      </c>
      <c r="AB138" s="14">
        <f t="shared" si="27"/>
        <v>0</v>
      </c>
      <c r="AC138" s="14">
        <f t="shared" si="27"/>
        <v>0</v>
      </c>
      <c r="AD138" s="14">
        <f>SUM(AD134:AD137)</f>
        <v>21</v>
      </c>
      <c r="AE138" s="69"/>
    </row>
    <row r="139" spans="1:30" ht="15" thickBot="1">
      <c r="A139" s="110" t="s">
        <v>199</v>
      </c>
      <c r="B139" s="103" t="s">
        <v>192</v>
      </c>
      <c r="C139" s="63"/>
      <c r="D139" s="63"/>
      <c r="E139" s="121">
        <v>1</v>
      </c>
      <c r="F139" s="121">
        <v>1</v>
      </c>
      <c r="G139" s="101"/>
      <c r="H139" s="101"/>
      <c r="I139" s="101"/>
      <c r="J139" s="101"/>
      <c r="K139" s="101"/>
      <c r="L139" s="109"/>
      <c r="M139" s="109"/>
      <c r="N139" s="109"/>
      <c r="O139" s="109"/>
      <c r="Q139" s="6">
        <f t="shared" si="20"/>
        <v>2</v>
      </c>
      <c r="R139" s="121">
        <v>1</v>
      </c>
      <c r="S139" s="121">
        <v>1</v>
      </c>
      <c r="T139" s="101"/>
      <c r="U139" s="101"/>
      <c r="V139" s="101"/>
      <c r="W139" s="101"/>
      <c r="X139" s="101"/>
      <c r="Y139" s="109"/>
      <c r="Z139" s="109"/>
      <c r="AA139" s="109"/>
      <c r="AB139" s="109"/>
      <c r="AD139" s="6">
        <f aca="true" t="shared" si="28" ref="AD139:AD145">SUM(R139:AC139)</f>
        <v>2</v>
      </c>
    </row>
    <row r="140" spans="1:30" ht="15" thickBot="1">
      <c r="A140" s="110" t="s">
        <v>199</v>
      </c>
      <c r="B140" s="103" t="s">
        <v>193</v>
      </c>
      <c r="C140" s="63"/>
      <c r="D140" s="63"/>
      <c r="E140" s="121"/>
      <c r="F140" s="121"/>
      <c r="G140" s="101"/>
      <c r="H140" s="101"/>
      <c r="I140" s="101"/>
      <c r="J140" s="101"/>
      <c r="K140" s="101"/>
      <c r="L140" s="109"/>
      <c r="M140" s="109"/>
      <c r="N140" s="109"/>
      <c r="O140" s="109"/>
      <c r="Q140" s="6">
        <f t="shared" si="20"/>
        <v>0</v>
      </c>
      <c r="R140" s="121"/>
      <c r="S140" s="121"/>
      <c r="T140" s="101"/>
      <c r="U140" s="101"/>
      <c r="V140" s="101"/>
      <c r="W140" s="101"/>
      <c r="X140" s="101"/>
      <c r="Y140" s="109"/>
      <c r="Z140" s="109"/>
      <c r="AA140" s="109"/>
      <c r="AB140" s="109"/>
      <c r="AD140" s="6">
        <f t="shared" si="28"/>
        <v>0</v>
      </c>
    </row>
    <row r="141" spans="1:30" ht="15" thickBot="1">
      <c r="A141" s="110" t="s">
        <v>199</v>
      </c>
      <c r="B141" s="103" t="s">
        <v>194</v>
      </c>
      <c r="C141" s="63"/>
      <c r="D141" s="63"/>
      <c r="E141" s="121"/>
      <c r="F141" s="121"/>
      <c r="G141" s="101"/>
      <c r="H141" s="101"/>
      <c r="I141" s="101"/>
      <c r="J141" s="101"/>
      <c r="K141" s="101"/>
      <c r="L141" s="109"/>
      <c r="M141" s="109"/>
      <c r="N141" s="109"/>
      <c r="O141" s="109"/>
      <c r="Q141" s="6">
        <f t="shared" si="20"/>
        <v>0</v>
      </c>
      <c r="R141" s="121"/>
      <c r="S141" s="121"/>
      <c r="T141" s="101"/>
      <c r="U141" s="101"/>
      <c r="V141" s="101"/>
      <c r="W141" s="101"/>
      <c r="X141" s="101"/>
      <c r="Y141" s="109"/>
      <c r="Z141" s="109"/>
      <c r="AA141" s="109"/>
      <c r="AB141" s="109"/>
      <c r="AD141" s="6">
        <f t="shared" si="28"/>
        <v>0</v>
      </c>
    </row>
    <row r="142" spans="1:30" ht="15" thickBot="1">
      <c r="A142" s="110" t="s">
        <v>199</v>
      </c>
      <c r="B142" s="103" t="s">
        <v>195</v>
      </c>
      <c r="C142" s="63"/>
      <c r="D142" s="63"/>
      <c r="E142" s="121"/>
      <c r="F142" s="121"/>
      <c r="G142" s="101"/>
      <c r="H142" s="101"/>
      <c r="I142" s="101"/>
      <c r="J142" s="101"/>
      <c r="K142" s="101"/>
      <c r="L142" s="109"/>
      <c r="M142" s="109"/>
      <c r="N142" s="109"/>
      <c r="O142" s="109"/>
      <c r="Q142" s="6">
        <f t="shared" si="20"/>
        <v>0</v>
      </c>
      <c r="R142" s="121"/>
      <c r="S142" s="121"/>
      <c r="T142" s="101"/>
      <c r="U142" s="101"/>
      <c r="V142" s="101"/>
      <c r="W142" s="101"/>
      <c r="X142" s="101"/>
      <c r="Y142" s="109"/>
      <c r="Z142" s="109"/>
      <c r="AA142" s="109"/>
      <c r="AB142" s="109"/>
      <c r="AD142" s="6">
        <f t="shared" si="28"/>
        <v>0</v>
      </c>
    </row>
    <row r="143" spans="1:30" ht="15" thickBot="1">
      <c r="A143" s="110" t="s">
        <v>199</v>
      </c>
      <c r="B143" s="103" t="s">
        <v>196</v>
      </c>
      <c r="C143" s="63"/>
      <c r="D143" s="63"/>
      <c r="E143" s="121"/>
      <c r="F143" s="121"/>
      <c r="G143" s="101"/>
      <c r="H143" s="101"/>
      <c r="I143" s="101"/>
      <c r="J143" s="101"/>
      <c r="K143" s="101"/>
      <c r="L143" s="109"/>
      <c r="M143" s="109"/>
      <c r="N143" s="109"/>
      <c r="O143" s="109"/>
      <c r="Q143" s="6">
        <f t="shared" si="20"/>
        <v>0</v>
      </c>
      <c r="R143" s="121"/>
      <c r="S143" s="121"/>
      <c r="T143" s="101"/>
      <c r="U143" s="101"/>
      <c r="V143" s="101"/>
      <c r="W143" s="101"/>
      <c r="X143" s="101"/>
      <c r="Y143" s="109"/>
      <c r="Z143" s="109"/>
      <c r="AA143" s="109"/>
      <c r="AB143" s="109"/>
      <c r="AD143" s="6">
        <f t="shared" si="28"/>
        <v>0</v>
      </c>
    </row>
    <row r="144" spans="1:30" ht="15" thickBot="1">
      <c r="A144" s="110" t="s">
        <v>199</v>
      </c>
      <c r="B144" s="103" t="s">
        <v>197</v>
      </c>
      <c r="C144" s="63"/>
      <c r="D144" s="63"/>
      <c r="E144" s="121"/>
      <c r="F144" s="121"/>
      <c r="G144" s="101"/>
      <c r="H144" s="101"/>
      <c r="I144" s="101"/>
      <c r="J144" s="101"/>
      <c r="K144" s="101"/>
      <c r="L144" s="109"/>
      <c r="M144" s="109"/>
      <c r="N144" s="109"/>
      <c r="O144" s="109"/>
      <c r="Q144" s="6">
        <f t="shared" si="20"/>
        <v>0</v>
      </c>
      <c r="R144" s="121"/>
      <c r="S144" s="121"/>
      <c r="T144" s="101"/>
      <c r="U144" s="101"/>
      <c r="V144" s="101"/>
      <c r="W144" s="101"/>
      <c r="X144" s="101"/>
      <c r="Y144" s="109"/>
      <c r="Z144" s="109"/>
      <c r="AA144" s="109"/>
      <c r="AB144" s="109"/>
      <c r="AD144" s="6">
        <f t="shared" si="28"/>
        <v>0</v>
      </c>
    </row>
    <row r="145" spans="1:30" ht="15" thickBot="1">
      <c r="A145" s="110" t="s">
        <v>199</v>
      </c>
      <c r="B145" s="103" t="s">
        <v>198</v>
      </c>
      <c r="C145" s="63"/>
      <c r="D145" s="63"/>
      <c r="E145" s="121"/>
      <c r="F145" s="121"/>
      <c r="G145" s="101"/>
      <c r="H145" s="101"/>
      <c r="I145" s="101"/>
      <c r="J145" s="101"/>
      <c r="K145" s="101"/>
      <c r="L145" s="113"/>
      <c r="M145" s="113"/>
      <c r="N145" s="113"/>
      <c r="O145" s="113"/>
      <c r="P145" s="69"/>
      <c r="Q145" s="6">
        <f>SUM(E145:P145)</f>
        <v>0</v>
      </c>
      <c r="R145" s="121"/>
      <c r="S145" s="121"/>
      <c r="T145" s="101"/>
      <c r="U145" s="101"/>
      <c r="V145" s="101"/>
      <c r="W145" s="101"/>
      <c r="X145" s="101"/>
      <c r="Y145" s="109"/>
      <c r="Z145" s="109"/>
      <c r="AA145" s="109"/>
      <c r="AB145" s="109"/>
      <c r="AD145" s="6">
        <f t="shared" si="28"/>
        <v>0</v>
      </c>
    </row>
    <row r="146" spans="1:31" s="65" customFormat="1" ht="15" thickBot="1">
      <c r="A146" s="196" t="s">
        <v>210</v>
      </c>
      <c r="B146" s="197"/>
      <c r="C146" s="45">
        <f>+D146/Metas!J35</f>
        <v>1.1494252873563218</v>
      </c>
      <c r="D146" s="19">
        <f>+Q146/AD146</f>
        <v>1</v>
      </c>
      <c r="E146" s="14">
        <f>SUM(E139:E145)</f>
        <v>1</v>
      </c>
      <c r="F146" s="14">
        <f aca="true" t="shared" si="29" ref="F146:P146">SUM(F139:F145)</f>
        <v>1</v>
      </c>
      <c r="G146" s="14">
        <f t="shared" si="29"/>
        <v>0</v>
      </c>
      <c r="H146" s="14">
        <f t="shared" si="29"/>
        <v>0</v>
      </c>
      <c r="I146" s="14">
        <f t="shared" si="29"/>
        <v>0</v>
      </c>
      <c r="J146" s="14">
        <f t="shared" si="29"/>
        <v>0</v>
      </c>
      <c r="K146" s="14">
        <f t="shared" si="29"/>
        <v>0</v>
      </c>
      <c r="L146" s="14">
        <f t="shared" si="29"/>
        <v>0</v>
      </c>
      <c r="M146" s="14">
        <f t="shared" si="29"/>
        <v>0</v>
      </c>
      <c r="N146" s="14">
        <f t="shared" si="29"/>
        <v>0</v>
      </c>
      <c r="O146" s="14">
        <f t="shared" si="29"/>
        <v>0</v>
      </c>
      <c r="P146" s="14">
        <f t="shared" si="29"/>
        <v>0</v>
      </c>
      <c r="Q146" s="14">
        <f>SUM(Q139:Q145)</f>
        <v>2</v>
      </c>
      <c r="R146" s="14">
        <f>SUM(R139:R145)</f>
        <v>1</v>
      </c>
      <c r="S146" s="14">
        <f aca="true" t="shared" si="30" ref="S146:AC146">SUM(S139:S145)</f>
        <v>1</v>
      </c>
      <c r="T146" s="14">
        <f t="shared" si="30"/>
        <v>0</v>
      </c>
      <c r="U146" s="14">
        <f t="shared" si="30"/>
        <v>0</v>
      </c>
      <c r="V146" s="14">
        <f t="shared" si="30"/>
        <v>0</v>
      </c>
      <c r="W146" s="14">
        <f t="shared" si="30"/>
        <v>0</v>
      </c>
      <c r="X146" s="14">
        <f t="shared" si="30"/>
        <v>0</v>
      </c>
      <c r="Y146" s="14">
        <f t="shared" si="30"/>
        <v>0</v>
      </c>
      <c r="Z146" s="14">
        <f t="shared" si="30"/>
        <v>0</v>
      </c>
      <c r="AA146" s="14">
        <f t="shared" si="30"/>
        <v>0</v>
      </c>
      <c r="AB146" s="14">
        <f t="shared" si="30"/>
        <v>0</v>
      </c>
      <c r="AC146" s="14">
        <f t="shared" si="30"/>
        <v>0</v>
      </c>
      <c r="AD146" s="14">
        <f>SUM(AD139:AD145)</f>
        <v>2</v>
      </c>
      <c r="AE146" s="69"/>
    </row>
    <row r="147" spans="2:31" ht="14.25">
      <c r="B147" s="148" t="s">
        <v>215</v>
      </c>
      <c r="C147" s="72"/>
      <c r="D147" s="81"/>
      <c r="E147" s="76">
        <f aca="true" t="shared" si="31" ref="E147:AD147">+E25+E36+E47+E61+E72+E78+E89+E106+E119+E133+E138+E146</f>
        <v>595</v>
      </c>
      <c r="F147" s="76">
        <f t="shared" si="31"/>
        <v>526</v>
      </c>
      <c r="G147" s="69">
        <f t="shared" si="31"/>
        <v>0</v>
      </c>
      <c r="H147" s="69">
        <f t="shared" si="31"/>
        <v>0</v>
      </c>
      <c r="I147" s="69">
        <f t="shared" si="31"/>
        <v>0</v>
      </c>
      <c r="J147" s="69">
        <f t="shared" si="31"/>
        <v>0</v>
      </c>
      <c r="K147" s="69">
        <f t="shared" si="31"/>
        <v>0</v>
      </c>
      <c r="L147" s="69">
        <f t="shared" si="31"/>
        <v>0</v>
      </c>
      <c r="M147" s="69">
        <f t="shared" si="31"/>
        <v>0</v>
      </c>
      <c r="N147" s="69">
        <f t="shared" si="31"/>
        <v>0</v>
      </c>
      <c r="O147" s="69">
        <f t="shared" si="31"/>
        <v>0</v>
      </c>
      <c r="P147" s="69">
        <f t="shared" si="31"/>
        <v>0</v>
      </c>
      <c r="Q147" s="69">
        <f t="shared" si="31"/>
        <v>1121</v>
      </c>
      <c r="R147" s="76">
        <f t="shared" si="31"/>
        <v>698</v>
      </c>
      <c r="S147" s="76">
        <f t="shared" si="31"/>
        <v>615</v>
      </c>
      <c r="T147" s="69">
        <f t="shared" si="31"/>
        <v>0</v>
      </c>
      <c r="U147" s="69">
        <f t="shared" si="31"/>
        <v>0</v>
      </c>
      <c r="V147" s="69">
        <f t="shared" si="31"/>
        <v>0</v>
      </c>
      <c r="W147" s="69">
        <f t="shared" si="31"/>
        <v>0</v>
      </c>
      <c r="X147" s="69">
        <f t="shared" si="31"/>
        <v>0</v>
      </c>
      <c r="Y147" s="69">
        <f t="shared" si="31"/>
        <v>0</v>
      </c>
      <c r="Z147" s="69">
        <f t="shared" si="31"/>
        <v>0</v>
      </c>
      <c r="AA147" s="69">
        <f t="shared" si="31"/>
        <v>0</v>
      </c>
      <c r="AB147" s="69">
        <f t="shared" si="31"/>
        <v>0</v>
      </c>
      <c r="AC147" s="69">
        <f t="shared" si="31"/>
        <v>0</v>
      </c>
      <c r="AD147" s="69">
        <f t="shared" si="31"/>
        <v>1313</v>
      </c>
      <c r="AE147" s="69"/>
    </row>
    <row r="148" spans="3:30" ht="14.25">
      <c r="C148" s="74"/>
      <c r="D148" s="98"/>
      <c r="AD148" s="69"/>
    </row>
  </sheetData>
  <sheetProtection/>
  <mergeCells count="21">
    <mergeCell ref="A146:B146"/>
    <mergeCell ref="A119:B119"/>
    <mergeCell ref="A133:B133"/>
    <mergeCell ref="A138:B138"/>
    <mergeCell ref="A78:B78"/>
    <mergeCell ref="A89:B89"/>
    <mergeCell ref="A106:B106"/>
    <mergeCell ref="A47:B47"/>
    <mergeCell ref="A61:B61"/>
    <mergeCell ref="A72:B72"/>
    <mergeCell ref="A25:B25"/>
    <mergeCell ref="A36:B36"/>
    <mergeCell ref="R10:AD10"/>
    <mergeCell ref="R2:AD9"/>
    <mergeCell ref="D1:D10"/>
    <mergeCell ref="E1:AD1"/>
    <mergeCell ref="A1:A10"/>
    <mergeCell ref="B1:B10"/>
    <mergeCell ref="E2:Q9"/>
    <mergeCell ref="E10:Q10"/>
    <mergeCell ref="C1:C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50"/>
  <sheetViews>
    <sheetView zoomScale="80" zoomScaleNormal="8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11.421875" defaultRowHeight="15"/>
  <cols>
    <col min="1" max="1" width="20.28125" style="110" bestFit="1" customWidth="1"/>
    <col min="2" max="2" width="36.7109375" style="110" bestFit="1" customWidth="1"/>
    <col min="3" max="3" width="14.421875" style="62" customWidth="1"/>
    <col min="4" max="4" width="14.140625" style="62" customWidth="1"/>
    <col min="5" max="6" width="8.421875" style="76" bestFit="1" customWidth="1"/>
    <col min="7" max="16" width="9.7109375" style="62" bestFit="1" customWidth="1"/>
    <col min="17" max="17" width="11.7109375" style="62" bestFit="1" customWidth="1"/>
    <col min="18" max="16384" width="11.421875" style="62" customWidth="1"/>
  </cols>
  <sheetData>
    <row r="1" spans="1:19" ht="73.5" customHeight="1" thickBot="1" thickTop="1">
      <c r="A1" s="204" t="s">
        <v>0</v>
      </c>
      <c r="B1" s="198" t="s">
        <v>1</v>
      </c>
      <c r="C1" s="198" t="s">
        <v>217</v>
      </c>
      <c r="D1" s="222" t="s">
        <v>213</v>
      </c>
      <c r="E1" s="233" t="s">
        <v>42</v>
      </c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</row>
    <row r="2" spans="1:19" ht="15" customHeight="1">
      <c r="A2" s="205"/>
      <c r="B2" s="208"/>
      <c r="C2" s="199"/>
      <c r="D2" s="223"/>
      <c r="E2" s="212" t="s">
        <v>3</v>
      </c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12" t="s">
        <v>4</v>
      </c>
      <c r="S2" s="209"/>
    </row>
    <row r="3" spans="1:19" ht="15" customHeight="1">
      <c r="A3" s="205"/>
      <c r="B3" s="208"/>
      <c r="C3" s="199"/>
      <c r="D3" s="223"/>
      <c r="E3" s="214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4"/>
      <c r="S3" s="210"/>
    </row>
    <row r="4" spans="1:19" ht="15" customHeight="1">
      <c r="A4" s="205"/>
      <c r="B4" s="208"/>
      <c r="C4" s="199"/>
      <c r="D4" s="223"/>
      <c r="E4" s="214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4"/>
      <c r="S4" s="210"/>
    </row>
    <row r="5" spans="1:19" ht="15" customHeight="1">
      <c r="A5" s="205"/>
      <c r="B5" s="208"/>
      <c r="C5" s="199"/>
      <c r="D5" s="223"/>
      <c r="E5" s="214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4"/>
      <c r="S5" s="210"/>
    </row>
    <row r="6" spans="1:19" ht="15" customHeight="1">
      <c r="A6" s="205"/>
      <c r="B6" s="208"/>
      <c r="C6" s="199"/>
      <c r="D6" s="223"/>
      <c r="E6" s="214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4"/>
      <c r="S6" s="210"/>
    </row>
    <row r="7" spans="1:19" ht="15" customHeight="1">
      <c r="A7" s="205"/>
      <c r="B7" s="208"/>
      <c r="C7" s="199"/>
      <c r="D7" s="223"/>
      <c r="E7" s="214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4"/>
      <c r="S7" s="210"/>
    </row>
    <row r="8" spans="1:19" ht="15" customHeight="1">
      <c r="A8" s="205"/>
      <c r="B8" s="208"/>
      <c r="C8" s="199"/>
      <c r="D8" s="223"/>
      <c r="E8" s="214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4"/>
      <c r="S8" s="210"/>
    </row>
    <row r="9" spans="1:19" ht="15.75" customHeight="1" thickBot="1">
      <c r="A9" s="205"/>
      <c r="B9" s="208"/>
      <c r="C9" s="199"/>
      <c r="D9" s="223"/>
      <c r="E9" s="216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6"/>
      <c r="S9" s="211"/>
    </row>
    <row r="10" spans="1:19" ht="57.75" customHeight="1" thickBot="1">
      <c r="A10" s="206"/>
      <c r="B10" s="200"/>
      <c r="C10" s="199"/>
      <c r="D10" s="224"/>
      <c r="E10" s="202" t="s">
        <v>43</v>
      </c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3"/>
      <c r="R10" s="231" t="s">
        <v>44</v>
      </c>
      <c r="S10" s="231"/>
    </row>
    <row r="11" spans="1:19" ht="33" thickBot="1">
      <c r="A11" s="149"/>
      <c r="B11" s="149"/>
      <c r="C11" s="200"/>
      <c r="D11" s="140" t="s">
        <v>214</v>
      </c>
      <c r="E11" s="144" t="s">
        <v>9</v>
      </c>
      <c r="F11" s="144" t="s">
        <v>10</v>
      </c>
      <c r="G11" s="140" t="s">
        <v>11</v>
      </c>
      <c r="H11" s="140" t="s">
        <v>12</v>
      </c>
      <c r="I11" s="140" t="s">
        <v>13</v>
      </c>
      <c r="J11" s="140" t="s">
        <v>14</v>
      </c>
      <c r="K11" s="140" t="s">
        <v>15</v>
      </c>
      <c r="L11" s="140" t="s">
        <v>16</v>
      </c>
      <c r="M11" s="140" t="s">
        <v>17</v>
      </c>
      <c r="N11" s="140" t="s">
        <v>18</v>
      </c>
      <c r="O11" s="140" t="s">
        <v>19</v>
      </c>
      <c r="P11" s="140" t="s">
        <v>20</v>
      </c>
      <c r="Q11" s="140" t="s">
        <v>21</v>
      </c>
      <c r="R11" s="232"/>
      <c r="S11" s="232"/>
    </row>
    <row r="12" spans="1:17" ht="15" thickBot="1">
      <c r="A12" s="110" t="s">
        <v>78</v>
      </c>
      <c r="B12" s="103" t="s">
        <v>65</v>
      </c>
      <c r="C12" s="63"/>
      <c r="D12" s="63"/>
      <c r="E12" s="122">
        <v>52</v>
      </c>
      <c r="F12" s="122">
        <v>27</v>
      </c>
      <c r="G12" s="101"/>
      <c r="H12" s="101"/>
      <c r="I12" s="101"/>
      <c r="J12" s="101"/>
      <c r="K12" s="101"/>
      <c r="L12" s="109"/>
      <c r="M12" s="109"/>
      <c r="N12" s="109"/>
      <c r="O12" s="109"/>
      <c r="Q12" s="17">
        <f>SUM(E12:P12)</f>
        <v>79</v>
      </c>
    </row>
    <row r="13" spans="1:17" ht="15" thickBot="1">
      <c r="A13" s="110" t="s">
        <v>78</v>
      </c>
      <c r="B13" s="103" t="s">
        <v>66</v>
      </c>
      <c r="C13" s="63"/>
      <c r="D13" s="63"/>
      <c r="E13" s="122">
        <v>23</v>
      </c>
      <c r="F13" s="122">
        <v>21</v>
      </c>
      <c r="G13" s="101"/>
      <c r="H13" s="101"/>
      <c r="I13" s="101"/>
      <c r="J13" s="101"/>
      <c r="K13" s="101"/>
      <c r="L13" s="109"/>
      <c r="M13" s="109"/>
      <c r="N13" s="109"/>
      <c r="O13" s="109"/>
      <c r="Q13" s="17">
        <f aca="true" t="shared" si="0" ref="Q13:Q24">SUM(E13:P13)</f>
        <v>44</v>
      </c>
    </row>
    <row r="14" spans="1:17" ht="15" thickBot="1">
      <c r="A14" s="110" t="s">
        <v>78</v>
      </c>
      <c r="B14" s="103" t="s">
        <v>67</v>
      </c>
      <c r="C14" s="63"/>
      <c r="D14" s="63"/>
      <c r="E14" s="122">
        <v>52</v>
      </c>
      <c r="F14" s="122">
        <v>63</v>
      </c>
      <c r="G14" s="101"/>
      <c r="H14" s="101"/>
      <c r="I14" s="101"/>
      <c r="J14" s="101"/>
      <c r="K14" s="101"/>
      <c r="L14" s="109"/>
      <c r="M14" s="109"/>
      <c r="N14" s="109"/>
      <c r="O14" s="109"/>
      <c r="Q14" s="17">
        <f t="shared" si="0"/>
        <v>115</v>
      </c>
    </row>
    <row r="15" spans="1:17" ht="15" thickBot="1">
      <c r="A15" s="110" t="s">
        <v>78</v>
      </c>
      <c r="B15" s="103" t="s">
        <v>68</v>
      </c>
      <c r="C15" s="63"/>
      <c r="D15" s="63"/>
      <c r="E15" s="122">
        <v>268</v>
      </c>
      <c r="F15" s="122">
        <v>46</v>
      </c>
      <c r="G15" s="101"/>
      <c r="H15" s="101"/>
      <c r="I15" s="101"/>
      <c r="J15" s="101"/>
      <c r="K15" s="101"/>
      <c r="L15" s="109"/>
      <c r="M15" s="109"/>
      <c r="N15" s="109"/>
      <c r="O15" s="109"/>
      <c r="Q15" s="17">
        <f t="shared" si="0"/>
        <v>314</v>
      </c>
    </row>
    <row r="16" spans="1:17" ht="15" thickBot="1">
      <c r="A16" s="110" t="s">
        <v>78</v>
      </c>
      <c r="B16" s="103" t="s">
        <v>69</v>
      </c>
      <c r="C16" s="66"/>
      <c r="D16" s="63"/>
      <c r="E16" s="122">
        <v>79</v>
      </c>
      <c r="F16" s="122">
        <v>108</v>
      </c>
      <c r="G16" s="101"/>
      <c r="H16" s="101"/>
      <c r="I16" s="101"/>
      <c r="J16" s="101"/>
      <c r="K16" s="101"/>
      <c r="L16" s="109"/>
      <c r="M16" s="109"/>
      <c r="N16" s="109"/>
      <c r="O16" s="109"/>
      <c r="Q16" s="17">
        <f t="shared" si="0"/>
        <v>187</v>
      </c>
    </row>
    <row r="17" spans="1:17" ht="15" thickBot="1">
      <c r="A17" s="110" t="s">
        <v>78</v>
      </c>
      <c r="B17" s="103" t="s">
        <v>70</v>
      </c>
      <c r="C17" s="63"/>
      <c r="D17" s="63"/>
      <c r="E17" s="122">
        <v>22</v>
      </c>
      <c r="F17" s="122">
        <v>13</v>
      </c>
      <c r="G17" s="101"/>
      <c r="H17" s="101"/>
      <c r="I17" s="101"/>
      <c r="J17" s="101"/>
      <c r="K17" s="101"/>
      <c r="L17" s="109"/>
      <c r="M17" s="109"/>
      <c r="N17" s="109"/>
      <c r="O17" s="109"/>
      <c r="Q17" s="17">
        <f t="shared" si="0"/>
        <v>35</v>
      </c>
    </row>
    <row r="18" spans="1:17" ht="15" thickBot="1">
      <c r="A18" s="110" t="s">
        <v>78</v>
      </c>
      <c r="B18" s="103" t="s">
        <v>71</v>
      </c>
      <c r="C18" s="63"/>
      <c r="D18" s="63"/>
      <c r="E18" s="122">
        <v>10</v>
      </c>
      <c r="F18" s="122"/>
      <c r="G18" s="101"/>
      <c r="H18" s="101"/>
      <c r="I18" s="101"/>
      <c r="J18" s="101"/>
      <c r="K18" s="101"/>
      <c r="L18" s="109"/>
      <c r="M18" s="109"/>
      <c r="N18" s="109"/>
      <c r="O18" s="109"/>
      <c r="Q18" s="17">
        <f t="shared" si="0"/>
        <v>10</v>
      </c>
    </row>
    <row r="19" spans="1:17" ht="15" thickBot="1">
      <c r="A19" s="110" t="s">
        <v>78</v>
      </c>
      <c r="B19" s="103" t="s">
        <v>72</v>
      </c>
      <c r="C19" s="63"/>
      <c r="D19" s="63"/>
      <c r="E19" s="122">
        <v>4</v>
      </c>
      <c r="F19" s="122"/>
      <c r="G19" s="101"/>
      <c r="H19" s="101"/>
      <c r="I19" s="101"/>
      <c r="J19" s="101"/>
      <c r="K19" s="101"/>
      <c r="L19" s="109"/>
      <c r="M19" s="109"/>
      <c r="N19" s="109"/>
      <c r="O19" s="109"/>
      <c r="Q19" s="17">
        <f t="shared" si="0"/>
        <v>4</v>
      </c>
    </row>
    <row r="20" spans="1:17" ht="15" thickBot="1">
      <c r="A20" s="110" t="s">
        <v>78</v>
      </c>
      <c r="B20" s="103" t="s">
        <v>73</v>
      </c>
      <c r="C20" s="63"/>
      <c r="D20" s="63"/>
      <c r="E20" s="122">
        <v>2</v>
      </c>
      <c r="F20" s="122"/>
      <c r="G20" s="101"/>
      <c r="H20" s="101"/>
      <c r="I20" s="101"/>
      <c r="J20" s="101"/>
      <c r="K20" s="101"/>
      <c r="L20" s="109"/>
      <c r="M20" s="109"/>
      <c r="N20" s="109"/>
      <c r="O20" s="109"/>
      <c r="Q20" s="17">
        <f t="shared" si="0"/>
        <v>2</v>
      </c>
    </row>
    <row r="21" spans="1:17" ht="15" thickBot="1">
      <c r="A21" s="110" t="s">
        <v>78</v>
      </c>
      <c r="B21" s="103" t="s">
        <v>74</v>
      </c>
      <c r="C21" s="67"/>
      <c r="D21" s="63"/>
      <c r="E21" s="122">
        <v>1</v>
      </c>
      <c r="F21" s="122"/>
      <c r="G21" s="101"/>
      <c r="H21" s="101"/>
      <c r="I21" s="101"/>
      <c r="J21" s="101"/>
      <c r="K21" s="101"/>
      <c r="L21" s="109"/>
      <c r="M21" s="109"/>
      <c r="N21" s="109"/>
      <c r="O21" s="109"/>
      <c r="Q21" s="17">
        <f t="shared" si="0"/>
        <v>1</v>
      </c>
    </row>
    <row r="22" spans="1:17" ht="15" thickBot="1">
      <c r="A22" s="110" t="s">
        <v>78</v>
      </c>
      <c r="B22" s="103" t="s">
        <v>75</v>
      </c>
      <c r="C22" s="63"/>
      <c r="D22" s="63"/>
      <c r="E22" s="122"/>
      <c r="F22" s="122">
        <v>9</v>
      </c>
      <c r="G22" s="101"/>
      <c r="H22" s="101"/>
      <c r="I22" s="101"/>
      <c r="J22" s="101"/>
      <c r="K22" s="101"/>
      <c r="L22" s="109"/>
      <c r="M22" s="109"/>
      <c r="N22" s="109"/>
      <c r="O22" s="109"/>
      <c r="Q22" s="17">
        <f t="shared" si="0"/>
        <v>9</v>
      </c>
    </row>
    <row r="23" spans="1:17" ht="15" thickBot="1">
      <c r="A23" s="110" t="s">
        <v>78</v>
      </c>
      <c r="B23" s="103" t="s">
        <v>76</v>
      </c>
      <c r="C23" s="63"/>
      <c r="D23" s="63"/>
      <c r="E23" s="84"/>
      <c r="F23" s="84"/>
      <c r="G23" s="64"/>
      <c r="H23" s="64"/>
      <c r="I23" s="64"/>
      <c r="J23" s="64"/>
      <c r="K23" s="64"/>
      <c r="Q23" s="17">
        <f>SUM(E23:P23)</f>
        <v>0</v>
      </c>
    </row>
    <row r="24" spans="1:17" ht="15" thickBot="1">
      <c r="A24" s="110" t="s">
        <v>78</v>
      </c>
      <c r="B24" s="103" t="s">
        <v>77</v>
      </c>
      <c r="C24" s="63"/>
      <c r="D24" s="63"/>
      <c r="E24" s="84"/>
      <c r="F24" s="84"/>
      <c r="G24" s="64"/>
      <c r="H24" s="64"/>
      <c r="I24" s="64"/>
      <c r="J24" s="64"/>
      <c r="K24" s="64"/>
      <c r="Q24" s="17">
        <f t="shared" si="0"/>
        <v>0</v>
      </c>
    </row>
    <row r="25" spans="1:19" s="65" customFormat="1" ht="15" thickBot="1">
      <c r="A25" s="196" t="s">
        <v>200</v>
      </c>
      <c r="B25" s="197"/>
      <c r="C25" s="45">
        <f>+D25/Metas!K30</f>
        <v>0.6753636622269947</v>
      </c>
      <c r="D25" s="19">
        <f>+Q25/R25</f>
        <v>0.014182636906766891</v>
      </c>
      <c r="E25" s="85">
        <f>SUM(E12:E24)</f>
        <v>513</v>
      </c>
      <c r="F25" s="85">
        <f aca="true" t="shared" si="1" ref="F25:P25">SUM(F12:F24)</f>
        <v>287</v>
      </c>
      <c r="G25" s="75">
        <f t="shared" si="1"/>
        <v>0</v>
      </c>
      <c r="H25" s="75">
        <f t="shared" si="1"/>
        <v>0</v>
      </c>
      <c r="I25" s="75">
        <f t="shared" si="1"/>
        <v>0</v>
      </c>
      <c r="J25" s="75">
        <f t="shared" si="1"/>
        <v>0</v>
      </c>
      <c r="K25" s="75">
        <f t="shared" si="1"/>
        <v>0</v>
      </c>
      <c r="L25" s="75">
        <f t="shared" si="1"/>
        <v>0</v>
      </c>
      <c r="M25" s="75">
        <f t="shared" si="1"/>
        <v>0</v>
      </c>
      <c r="N25" s="75">
        <f t="shared" si="1"/>
        <v>0</v>
      </c>
      <c r="O25" s="75">
        <f t="shared" si="1"/>
        <v>0</v>
      </c>
      <c r="P25" s="75">
        <f t="shared" si="1"/>
        <v>0</v>
      </c>
      <c r="Q25" s="14">
        <f>SUM(Q12:Q24)</f>
        <v>800</v>
      </c>
      <c r="R25" s="237">
        <v>56407</v>
      </c>
      <c r="S25" s="238"/>
    </row>
    <row r="26" spans="1:17" ht="15" thickBot="1">
      <c r="A26" s="110" t="s">
        <v>79</v>
      </c>
      <c r="B26" s="103" t="s">
        <v>80</v>
      </c>
      <c r="C26" s="63"/>
      <c r="D26" s="63"/>
      <c r="E26" s="122">
        <v>78</v>
      </c>
      <c r="F26" s="122">
        <v>78</v>
      </c>
      <c r="G26" s="101"/>
      <c r="H26" s="101"/>
      <c r="I26" s="101"/>
      <c r="J26" s="101"/>
      <c r="K26" s="101"/>
      <c r="L26" s="109"/>
      <c r="M26" s="109"/>
      <c r="N26" s="109"/>
      <c r="O26" s="109"/>
      <c r="Q26" s="17">
        <f aca="true" t="shared" si="2" ref="Q26:Q57">SUM(E26:P26)</f>
        <v>156</v>
      </c>
    </row>
    <row r="27" spans="1:17" ht="15" thickBot="1">
      <c r="A27" s="110" t="s">
        <v>79</v>
      </c>
      <c r="B27" s="103" t="s">
        <v>81</v>
      </c>
      <c r="C27" s="63"/>
      <c r="D27" s="63"/>
      <c r="E27" s="122">
        <v>85</v>
      </c>
      <c r="F27" s="122">
        <v>113</v>
      </c>
      <c r="G27" s="101"/>
      <c r="H27" s="101"/>
      <c r="I27" s="101"/>
      <c r="J27" s="101"/>
      <c r="K27" s="101"/>
      <c r="L27" s="109"/>
      <c r="M27" s="109"/>
      <c r="N27" s="109"/>
      <c r="O27" s="109"/>
      <c r="Q27" s="17">
        <f t="shared" si="2"/>
        <v>198</v>
      </c>
    </row>
    <row r="28" spans="1:17" ht="15" thickBot="1">
      <c r="A28" s="110" t="s">
        <v>79</v>
      </c>
      <c r="B28" s="103" t="s">
        <v>82</v>
      </c>
      <c r="C28" s="63"/>
      <c r="D28" s="63"/>
      <c r="E28" s="122">
        <v>167</v>
      </c>
      <c r="F28" s="122">
        <v>271</v>
      </c>
      <c r="G28" s="101"/>
      <c r="H28" s="101"/>
      <c r="I28" s="101"/>
      <c r="J28" s="101"/>
      <c r="K28" s="101"/>
      <c r="L28" s="109"/>
      <c r="M28" s="109"/>
      <c r="N28" s="109"/>
      <c r="O28" s="109"/>
      <c r="Q28" s="17">
        <f t="shared" si="2"/>
        <v>438</v>
      </c>
    </row>
    <row r="29" spans="1:17" ht="15" thickBot="1">
      <c r="A29" s="110" t="s">
        <v>79</v>
      </c>
      <c r="B29" s="103" t="s">
        <v>83</v>
      </c>
      <c r="C29" s="63"/>
      <c r="D29" s="63"/>
      <c r="E29" s="122">
        <v>35</v>
      </c>
      <c r="F29" s="122">
        <v>21</v>
      </c>
      <c r="G29" s="101"/>
      <c r="H29" s="101"/>
      <c r="I29" s="101"/>
      <c r="J29" s="101"/>
      <c r="K29" s="101"/>
      <c r="L29" s="109"/>
      <c r="M29" s="109"/>
      <c r="N29" s="109"/>
      <c r="O29" s="109"/>
      <c r="Q29" s="17">
        <f t="shared" si="2"/>
        <v>56</v>
      </c>
    </row>
    <row r="30" spans="1:17" ht="15" thickBot="1">
      <c r="A30" s="110" t="s">
        <v>79</v>
      </c>
      <c r="B30" s="103" t="s">
        <v>84</v>
      </c>
      <c r="C30" s="63"/>
      <c r="D30" s="63"/>
      <c r="E30" s="122">
        <v>234</v>
      </c>
      <c r="F30" s="122">
        <v>194</v>
      </c>
      <c r="G30" s="101"/>
      <c r="H30" s="101"/>
      <c r="I30" s="101"/>
      <c r="J30" s="101"/>
      <c r="K30" s="101"/>
      <c r="L30" s="109"/>
      <c r="M30" s="109"/>
      <c r="N30" s="109"/>
      <c r="O30" s="109"/>
      <c r="Q30" s="17">
        <f t="shared" si="2"/>
        <v>428</v>
      </c>
    </row>
    <row r="31" spans="1:17" ht="15" thickBot="1">
      <c r="A31" s="110" t="s">
        <v>79</v>
      </c>
      <c r="B31" s="103" t="s">
        <v>85</v>
      </c>
      <c r="C31" s="63"/>
      <c r="D31" s="63"/>
      <c r="E31" s="122">
        <v>1</v>
      </c>
      <c r="F31" s="122">
        <v>4</v>
      </c>
      <c r="G31" s="101"/>
      <c r="H31" s="101"/>
      <c r="I31" s="101"/>
      <c r="J31" s="101"/>
      <c r="K31" s="101"/>
      <c r="L31" s="109"/>
      <c r="M31" s="109"/>
      <c r="N31" s="109"/>
      <c r="O31" s="109"/>
      <c r="Q31" s="17">
        <f t="shared" si="2"/>
        <v>5</v>
      </c>
    </row>
    <row r="32" spans="1:17" ht="15" thickBot="1">
      <c r="A32" s="110" t="s">
        <v>79</v>
      </c>
      <c r="B32" s="103" t="s">
        <v>86</v>
      </c>
      <c r="C32" s="63"/>
      <c r="D32" s="63"/>
      <c r="E32" s="122">
        <v>18</v>
      </c>
      <c r="F32" s="122">
        <v>8</v>
      </c>
      <c r="G32" s="101"/>
      <c r="H32" s="101"/>
      <c r="I32" s="101"/>
      <c r="J32" s="101"/>
      <c r="K32" s="101"/>
      <c r="L32" s="109"/>
      <c r="M32" s="109"/>
      <c r="N32" s="109"/>
      <c r="O32" s="109"/>
      <c r="Q32" s="17">
        <f t="shared" si="2"/>
        <v>26</v>
      </c>
    </row>
    <row r="33" spans="1:17" ht="15" thickBot="1">
      <c r="A33" s="110" t="s">
        <v>79</v>
      </c>
      <c r="B33" s="103" t="s">
        <v>87</v>
      </c>
      <c r="C33" s="63"/>
      <c r="D33" s="63"/>
      <c r="E33" s="122">
        <v>50</v>
      </c>
      <c r="F33" s="122">
        <v>16</v>
      </c>
      <c r="G33" s="101"/>
      <c r="H33" s="101"/>
      <c r="I33" s="101"/>
      <c r="J33" s="101"/>
      <c r="K33" s="101"/>
      <c r="L33" s="109"/>
      <c r="M33" s="109"/>
      <c r="N33" s="109"/>
      <c r="O33" s="109"/>
      <c r="Q33" s="17">
        <f t="shared" si="2"/>
        <v>66</v>
      </c>
    </row>
    <row r="34" spans="1:17" ht="15" thickBot="1">
      <c r="A34" s="110" t="s">
        <v>79</v>
      </c>
      <c r="B34" s="103" t="s">
        <v>88</v>
      </c>
      <c r="C34" s="63"/>
      <c r="D34" s="63"/>
      <c r="E34" s="122"/>
      <c r="F34" s="122">
        <v>5</v>
      </c>
      <c r="G34" s="101"/>
      <c r="H34" s="101"/>
      <c r="I34" s="101"/>
      <c r="J34" s="101"/>
      <c r="K34" s="101"/>
      <c r="L34" s="109"/>
      <c r="M34" s="109"/>
      <c r="N34" s="109"/>
      <c r="O34" s="109"/>
      <c r="Q34" s="17">
        <f t="shared" si="2"/>
        <v>5</v>
      </c>
    </row>
    <row r="35" spans="1:17" ht="15" thickBot="1">
      <c r="A35" s="110" t="s">
        <v>79</v>
      </c>
      <c r="B35" s="103" t="s">
        <v>89</v>
      </c>
      <c r="C35" s="63"/>
      <c r="D35" s="63"/>
      <c r="E35" s="122">
        <v>28</v>
      </c>
      <c r="F35" s="122">
        <v>23</v>
      </c>
      <c r="G35" s="101"/>
      <c r="H35" s="101"/>
      <c r="I35" s="101"/>
      <c r="J35" s="101"/>
      <c r="K35" s="101"/>
      <c r="L35" s="109"/>
      <c r="M35" s="109"/>
      <c r="N35" s="109"/>
      <c r="O35" s="109"/>
      <c r="Q35" s="17">
        <f t="shared" si="2"/>
        <v>51</v>
      </c>
    </row>
    <row r="36" spans="1:19" s="65" customFormat="1" ht="15" thickBot="1">
      <c r="A36" s="196" t="s">
        <v>201</v>
      </c>
      <c r="B36" s="197"/>
      <c r="C36" s="45">
        <f>+D36/Metas!K28</f>
        <v>1.2236799627329935</v>
      </c>
      <c r="D36" s="19">
        <f>+Q36/R36</f>
        <v>0.025697279217392868</v>
      </c>
      <c r="E36" s="85">
        <f aca="true" t="shared" si="3" ref="E36:Q36">SUM(E26:E35)</f>
        <v>696</v>
      </c>
      <c r="F36" s="85">
        <f t="shared" si="3"/>
        <v>733</v>
      </c>
      <c r="G36" s="85">
        <f t="shared" si="3"/>
        <v>0</v>
      </c>
      <c r="H36" s="85">
        <f t="shared" si="3"/>
        <v>0</v>
      </c>
      <c r="I36" s="85">
        <f t="shared" si="3"/>
        <v>0</v>
      </c>
      <c r="J36" s="85">
        <f t="shared" si="3"/>
        <v>0</v>
      </c>
      <c r="K36" s="85">
        <f t="shared" si="3"/>
        <v>0</v>
      </c>
      <c r="L36" s="85">
        <f t="shared" si="3"/>
        <v>0</v>
      </c>
      <c r="M36" s="85">
        <f t="shared" si="3"/>
        <v>0</v>
      </c>
      <c r="N36" s="85">
        <f t="shared" si="3"/>
        <v>0</v>
      </c>
      <c r="O36" s="85">
        <f t="shared" si="3"/>
        <v>0</v>
      </c>
      <c r="P36" s="85">
        <f t="shared" si="3"/>
        <v>0</v>
      </c>
      <c r="Q36" s="14">
        <f t="shared" si="3"/>
        <v>1429</v>
      </c>
      <c r="R36" s="239">
        <v>55609</v>
      </c>
      <c r="S36" s="240"/>
    </row>
    <row r="37" spans="1:17" ht="15" thickBot="1">
      <c r="A37" s="110" t="s">
        <v>100</v>
      </c>
      <c r="B37" s="103" t="s">
        <v>90</v>
      </c>
      <c r="C37" s="63"/>
      <c r="D37" s="63"/>
      <c r="E37" s="122">
        <v>4</v>
      </c>
      <c r="F37" s="122">
        <v>2</v>
      </c>
      <c r="G37" s="101"/>
      <c r="H37" s="101"/>
      <c r="I37" s="101"/>
      <c r="J37" s="101"/>
      <c r="K37" s="101"/>
      <c r="L37" s="109"/>
      <c r="M37" s="109"/>
      <c r="N37" s="109"/>
      <c r="O37" s="109"/>
      <c r="P37" s="109"/>
      <c r="Q37" s="17">
        <f t="shared" si="2"/>
        <v>6</v>
      </c>
    </row>
    <row r="38" spans="1:17" ht="15" thickBot="1">
      <c r="A38" s="110" t="s">
        <v>100</v>
      </c>
      <c r="B38" s="103" t="s">
        <v>91</v>
      </c>
      <c r="C38" s="63"/>
      <c r="D38" s="63"/>
      <c r="E38" s="122"/>
      <c r="F38" s="122"/>
      <c r="G38" s="101"/>
      <c r="H38" s="101"/>
      <c r="I38" s="101"/>
      <c r="J38" s="101"/>
      <c r="K38" s="101"/>
      <c r="L38" s="109"/>
      <c r="M38" s="109"/>
      <c r="N38" s="109"/>
      <c r="O38" s="109"/>
      <c r="P38" s="109"/>
      <c r="Q38" s="17">
        <f t="shared" si="2"/>
        <v>0</v>
      </c>
    </row>
    <row r="39" spans="1:17" ht="15" thickBot="1">
      <c r="A39" s="110" t="s">
        <v>100</v>
      </c>
      <c r="B39" s="103" t="s">
        <v>92</v>
      </c>
      <c r="C39" s="63"/>
      <c r="D39" s="63"/>
      <c r="E39" s="122">
        <v>13</v>
      </c>
      <c r="F39" s="122">
        <v>11</v>
      </c>
      <c r="G39" s="101"/>
      <c r="H39" s="101"/>
      <c r="I39" s="101"/>
      <c r="J39" s="101"/>
      <c r="K39" s="101"/>
      <c r="L39" s="109"/>
      <c r="M39" s="109"/>
      <c r="N39" s="109"/>
      <c r="O39" s="109"/>
      <c r="P39" s="109"/>
      <c r="Q39" s="17">
        <f t="shared" si="2"/>
        <v>24</v>
      </c>
    </row>
    <row r="40" spans="1:17" ht="15" thickBot="1">
      <c r="A40" s="110" t="s">
        <v>100</v>
      </c>
      <c r="B40" s="103" t="s">
        <v>93</v>
      </c>
      <c r="C40" s="63"/>
      <c r="D40" s="63"/>
      <c r="E40" s="122"/>
      <c r="F40" s="122"/>
      <c r="G40" s="101"/>
      <c r="H40" s="101"/>
      <c r="I40" s="101"/>
      <c r="J40" s="101"/>
      <c r="K40" s="101"/>
      <c r="L40" s="109"/>
      <c r="M40" s="109"/>
      <c r="N40" s="109"/>
      <c r="O40" s="109"/>
      <c r="P40" s="109"/>
      <c r="Q40" s="17">
        <f t="shared" si="2"/>
        <v>0</v>
      </c>
    </row>
    <row r="41" spans="1:17" ht="15" thickBot="1">
      <c r="A41" s="110" t="s">
        <v>100</v>
      </c>
      <c r="B41" s="103" t="s">
        <v>94</v>
      </c>
      <c r="C41" s="63"/>
      <c r="D41" s="63"/>
      <c r="E41" s="122"/>
      <c r="F41" s="122"/>
      <c r="G41" s="101"/>
      <c r="H41" s="101"/>
      <c r="I41" s="101"/>
      <c r="J41" s="101"/>
      <c r="K41" s="101"/>
      <c r="L41" s="109"/>
      <c r="M41" s="109"/>
      <c r="N41" s="109"/>
      <c r="O41" s="109"/>
      <c r="P41" s="109"/>
      <c r="Q41" s="17">
        <f t="shared" si="2"/>
        <v>0</v>
      </c>
    </row>
    <row r="42" spans="1:17" ht="15" thickBot="1">
      <c r="A42" s="110" t="s">
        <v>100</v>
      </c>
      <c r="B42" s="103" t="s">
        <v>95</v>
      </c>
      <c r="C42" s="63"/>
      <c r="D42" s="63"/>
      <c r="E42" s="122"/>
      <c r="F42" s="122"/>
      <c r="G42" s="101"/>
      <c r="H42" s="101"/>
      <c r="I42" s="101"/>
      <c r="J42" s="101"/>
      <c r="K42" s="101"/>
      <c r="L42" s="109"/>
      <c r="M42" s="109"/>
      <c r="N42" s="109"/>
      <c r="O42" s="109"/>
      <c r="P42" s="109"/>
      <c r="Q42" s="17">
        <f t="shared" si="2"/>
        <v>0</v>
      </c>
    </row>
    <row r="43" spans="1:17" ht="15" thickBot="1">
      <c r="A43" s="110" t="s">
        <v>100</v>
      </c>
      <c r="B43" s="103" t="s">
        <v>96</v>
      </c>
      <c r="C43" s="63"/>
      <c r="D43" s="63"/>
      <c r="E43" s="122"/>
      <c r="F43" s="122"/>
      <c r="G43" s="101"/>
      <c r="H43" s="101"/>
      <c r="I43" s="101"/>
      <c r="J43" s="101"/>
      <c r="K43" s="101"/>
      <c r="L43" s="109"/>
      <c r="M43" s="109"/>
      <c r="N43" s="109"/>
      <c r="O43" s="109"/>
      <c r="P43" s="109"/>
      <c r="Q43" s="17">
        <f t="shared" si="2"/>
        <v>0</v>
      </c>
    </row>
    <row r="44" spans="1:17" ht="15" thickBot="1">
      <c r="A44" s="110" t="s">
        <v>100</v>
      </c>
      <c r="B44" s="103" t="s">
        <v>97</v>
      </c>
      <c r="C44" s="63"/>
      <c r="D44" s="63"/>
      <c r="E44" s="122"/>
      <c r="F44" s="122"/>
      <c r="G44" s="101"/>
      <c r="H44" s="101"/>
      <c r="I44" s="101"/>
      <c r="J44" s="101"/>
      <c r="K44" s="101"/>
      <c r="L44" s="109"/>
      <c r="M44" s="109"/>
      <c r="N44" s="109"/>
      <c r="O44" s="109"/>
      <c r="P44" s="109"/>
      <c r="Q44" s="17">
        <f t="shared" si="2"/>
        <v>0</v>
      </c>
    </row>
    <row r="45" spans="1:17" ht="15" thickBot="1">
      <c r="A45" s="110" t="s">
        <v>100</v>
      </c>
      <c r="B45" s="103" t="s">
        <v>98</v>
      </c>
      <c r="C45" s="63"/>
      <c r="D45" s="63"/>
      <c r="E45" s="122">
        <v>16</v>
      </c>
      <c r="F45" s="122">
        <v>17</v>
      </c>
      <c r="G45" s="101"/>
      <c r="H45" s="101"/>
      <c r="I45" s="101"/>
      <c r="J45" s="101"/>
      <c r="K45" s="101"/>
      <c r="L45" s="109"/>
      <c r="M45" s="109"/>
      <c r="N45" s="109"/>
      <c r="O45" s="109"/>
      <c r="P45" s="109"/>
      <c r="Q45" s="17">
        <f t="shared" si="2"/>
        <v>33</v>
      </c>
    </row>
    <row r="46" spans="1:17" ht="15" thickBot="1">
      <c r="A46" s="110" t="s">
        <v>100</v>
      </c>
      <c r="B46" s="103" t="s">
        <v>99</v>
      </c>
      <c r="C46" s="63"/>
      <c r="D46" s="6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09"/>
      <c r="P46" s="109"/>
      <c r="Q46" s="17">
        <f t="shared" si="2"/>
        <v>0</v>
      </c>
    </row>
    <row r="47" spans="1:19" s="65" customFormat="1" ht="15" thickBot="1">
      <c r="A47" s="196" t="s">
        <v>202</v>
      </c>
      <c r="B47" s="197"/>
      <c r="C47" s="45">
        <f>+D47/Metas!K37</f>
        <v>0.9718172983479104</v>
      </c>
      <c r="D47" s="19">
        <f>+Q47/R47</f>
        <v>0.02040816326530612</v>
      </c>
      <c r="E47" s="85">
        <f>SUM(E37:E46)</f>
        <v>33</v>
      </c>
      <c r="F47" s="85">
        <f aca="true" t="shared" si="4" ref="F47:P47">SUM(F37:F46)</f>
        <v>30</v>
      </c>
      <c r="G47" s="85">
        <f t="shared" si="4"/>
        <v>0</v>
      </c>
      <c r="H47" s="85">
        <f t="shared" si="4"/>
        <v>0</v>
      </c>
      <c r="I47" s="85">
        <f t="shared" si="4"/>
        <v>0</v>
      </c>
      <c r="J47" s="85">
        <f t="shared" si="4"/>
        <v>0</v>
      </c>
      <c r="K47" s="85">
        <f t="shared" si="4"/>
        <v>0</v>
      </c>
      <c r="L47" s="85">
        <f t="shared" si="4"/>
        <v>0</v>
      </c>
      <c r="M47" s="85">
        <f t="shared" si="4"/>
        <v>0</v>
      </c>
      <c r="N47" s="85">
        <f t="shared" si="4"/>
        <v>0</v>
      </c>
      <c r="O47" s="85">
        <f t="shared" si="4"/>
        <v>0</v>
      </c>
      <c r="P47" s="85">
        <f t="shared" si="4"/>
        <v>0</v>
      </c>
      <c r="Q47" s="14">
        <f>SUM(Q37:Q46)</f>
        <v>63</v>
      </c>
      <c r="R47" s="239">
        <v>3087</v>
      </c>
      <c r="S47" s="240"/>
    </row>
    <row r="48" spans="1:17" ht="15" thickBot="1">
      <c r="A48" s="110" t="s">
        <v>114</v>
      </c>
      <c r="B48" s="103" t="s">
        <v>101</v>
      </c>
      <c r="C48" s="63"/>
      <c r="D48" s="63"/>
      <c r="E48" s="122">
        <v>50</v>
      </c>
      <c r="F48" s="122">
        <v>90</v>
      </c>
      <c r="G48" s="101"/>
      <c r="H48" s="101"/>
      <c r="I48" s="101"/>
      <c r="J48" s="101"/>
      <c r="K48" s="101"/>
      <c r="L48" s="109"/>
      <c r="M48" s="109"/>
      <c r="N48" s="109"/>
      <c r="O48" s="109"/>
      <c r="P48" s="109"/>
      <c r="Q48" s="17">
        <f t="shared" si="2"/>
        <v>140</v>
      </c>
    </row>
    <row r="49" spans="1:17" ht="15" thickBot="1">
      <c r="A49" s="110" t="s">
        <v>114</v>
      </c>
      <c r="B49" s="103" t="s">
        <v>102</v>
      </c>
      <c r="C49" s="63"/>
      <c r="D49" s="63"/>
      <c r="E49" s="122">
        <v>10</v>
      </c>
      <c r="F49" s="122"/>
      <c r="G49" s="101"/>
      <c r="H49" s="101"/>
      <c r="I49" s="101"/>
      <c r="J49" s="101"/>
      <c r="K49" s="101"/>
      <c r="L49" s="109"/>
      <c r="M49" s="109"/>
      <c r="N49" s="109"/>
      <c r="O49" s="109"/>
      <c r="P49" s="109"/>
      <c r="Q49" s="17">
        <f t="shared" si="2"/>
        <v>10</v>
      </c>
    </row>
    <row r="50" spans="1:17" ht="15" thickBot="1">
      <c r="A50" s="110" t="s">
        <v>114</v>
      </c>
      <c r="B50" s="103" t="s">
        <v>103</v>
      </c>
      <c r="C50" s="63"/>
      <c r="D50" s="63"/>
      <c r="E50" s="122"/>
      <c r="F50" s="122"/>
      <c r="G50" s="101"/>
      <c r="H50" s="101"/>
      <c r="I50" s="101"/>
      <c r="J50" s="101"/>
      <c r="K50" s="101"/>
      <c r="L50" s="109"/>
      <c r="M50" s="109"/>
      <c r="N50" s="109"/>
      <c r="O50" s="109"/>
      <c r="P50" s="109"/>
      <c r="Q50" s="17">
        <f t="shared" si="2"/>
        <v>0</v>
      </c>
    </row>
    <row r="51" spans="1:17" ht="15" thickBot="1">
      <c r="A51" s="110" t="s">
        <v>114</v>
      </c>
      <c r="B51" s="103" t="s">
        <v>104</v>
      </c>
      <c r="C51" s="63"/>
      <c r="D51" s="63"/>
      <c r="E51" s="122">
        <v>3</v>
      </c>
      <c r="F51" s="122"/>
      <c r="G51" s="101"/>
      <c r="H51" s="101"/>
      <c r="I51" s="101"/>
      <c r="J51" s="101"/>
      <c r="K51" s="101"/>
      <c r="L51" s="109"/>
      <c r="M51" s="109"/>
      <c r="N51" s="109"/>
      <c r="O51" s="109"/>
      <c r="P51" s="109"/>
      <c r="Q51" s="17">
        <f t="shared" si="2"/>
        <v>3</v>
      </c>
    </row>
    <row r="52" spans="1:17" ht="15" thickBot="1">
      <c r="A52" s="110" t="s">
        <v>114</v>
      </c>
      <c r="B52" s="103" t="s">
        <v>105</v>
      </c>
      <c r="C52" s="63"/>
      <c r="D52" s="63"/>
      <c r="E52" s="122"/>
      <c r="F52" s="122"/>
      <c r="G52" s="101"/>
      <c r="H52" s="101"/>
      <c r="I52" s="101"/>
      <c r="J52" s="101"/>
      <c r="K52" s="101"/>
      <c r="L52" s="109"/>
      <c r="M52" s="109"/>
      <c r="N52" s="109"/>
      <c r="O52" s="109"/>
      <c r="P52" s="109"/>
      <c r="Q52" s="17">
        <f t="shared" si="2"/>
        <v>0</v>
      </c>
    </row>
    <row r="53" spans="1:17" ht="15" thickBot="1">
      <c r="A53" s="110" t="s">
        <v>114</v>
      </c>
      <c r="B53" s="103" t="s">
        <v>106</v>
      </c>
      <c r="C53" s="63"/>
      <c r="D53" s="63"/>
      <c r="E53" s="122"/>
      <c r="F53" s="122"/>
      <c r="G53" s="101"/>
      <c r="H53" s="101"/>
      <c r="I53" s="101"/>
      <c r="J53" s="101"/>
      <c r="K53" s="101"/>
      <c r="L53" s="109"/>
      <c r="M53" s="109"/>
      <c r="N53" s="109"/>
      <c r="O53" s="109"/>
      <c r="P53" s="109"/>
      <c r="Q53" s="17">
        <f t="shared" si="2"/>
        <v>0</v>
      </c>
    </row>
    <row r="54" spans="1:17" ht="15" thickBot="1">
      <c r="A54" s="110" t="s">
        <v>114</v>
      </c>
      <c r="B54" s="103" t="s">
        <v>107</v>
      </c>
      <c r="C54" s="63"/>
      <c r="D54" s="63"/>
      <c r="E54" s="122"/>
      <c r="F54" s="122"/>
      <c r="G54" s="101"/>
      <c r="H54" s="101"/>
      <c r="I54" s="101"/>
      <c r="J54" s="101"/>
      <c r="K54" s="101"/>
      <c r="L54" s="109"/>
      <c r="M54" s="109"/>
      <c r="N54" s="109"/>
      <c r="O54" s="109"/>
      <c r="P54" s="109"/>
      <c r="Q54" s="17">
        <f t="shared" si="2"/>
        <v>0</v>
      </c>
    </row>
    <row r="55" spans="1:17" ht="15" thickBot="1">
      <c r="A55" s="110" t="s">
        <v>114</v>
      </c>
      <c r="B55" s="103" t="s">
        <v>108</v>
      </c>
      <c r="C55" s="63"/>
      <c r="D55" s="63"/>
      <c r="E55" s="122"/>
      <c r="F55" s="122"/>
      <c r="G55" s="101"/>
      <c r="H55" s="101"/>
      <c r="I55" s="101"/>
      <c r="J55" s="101"/>
      <c r="K55" s="101"/>
      <c r="L55" s="109"/>
      <c r="M55" s="109"/>
      <c r="N55" s="109"/>
      <c r="O55" s="109"/>
      <c r="P55" s="109"/>
      <c r="Q55" s="17">
        <f t="shared" si="2"/>
        <v>0</v>
      </c>
    </row>
    <row r="56" spans="1:17" ht="15" thickBot="1">
      <c r="A56" s="110" t="s">
        <v>114</v>
      </c>
      <c r="B56" s="103" t="s">
        <v>109</v>
      </c>
      <c r="C56" s="63"/>
      <c r="D56" s="63"/>
      <c r="E56" s="122">
        <v>29</v>
      </c>
      <c r="F56" s="122">
        <v>24</v>
      </c>
      <c r="G56" s="101"/>
      <c r="H56" s="101"/>
      <c r="I56" s="101"/>
      <c r="J56" s="101"/>
      <c r="K56" s="101"/>
      <c r="L56" s="109"/>
      <c r="M56" s="109"/>
      <c r="N56" s="109"/>
      <c r="O56" s="109"/>
      <c r="P56" s="109"/>
      <c r="Q56" s="17">
        <f t="shared" si="2"/>
        <v>53</v>
      </c>
    </row>
    <row r="57" spans="1:17" ht="15" thickBot="1">
      <c r="A57" s="110" t="s">
        <v>114</v>
      </c>
      <c r="B57" s="103" t="s">
        <v>110</v>
      </c>
      <c r="C57" s="63"/>
      <c r="D57" s="63"/>
      <c r="E57" s="122"/>
      <c r="F57" s="122"/>
      <c r="G57" s="101"/>
      <c r="H57" s="101"/>
      <c r="I57" s="101"/>
      <c r="J57" s="101"/>
      <c r="K57" s="101"/>
      <c r="L57" s="109"/>
      <c r="M57" s="109"/>
      <c r="N57" s="109"/>
      <c r="O57" s="109"/>
      <c r="P57" s="109"/>
      <c r="Q57" s="17">
        <f t="shared" si="2"/>
        <v>0</v>
      </c>
    </row>
    <row r="58" spans="1:17" ht="15" thickBot="1">
      <c r="A58" s="110" t="s">
        <v>114</v>
      </c>
      <c r="B58" s="103" t="s">
        <v>111</v>
      </c>
      <c r="C58" s="63"/>
      <c r="D58" s="63"/>
      <c r="E58" s="122">
        <v>10</v>
      </c>
      <c r="F58" s="122"/>
      <c r="G58" s="101"/>
      <c r="H58" s="101"/>
      <c r="I58" s="101"/>
      <c r="J58" s="101"/>
      <c r="K58" s="101"/>
      <c r="L58" s="109"/>
      <c r="M58" s="109"/>
      <c r="N58" s="109"/>
      <c r="O58" s="109"/>
      <c r="P58" s="109"/>
      <c r="Q58" s="17">
        <f>SUM(E58:P58)</f>
        <v>10</v>
      </c>
    </row>
    <row r="59" spans="1:17" ht="15" thickBot="1">
      <c r="A59" s="110" t="s">
        <v>114</v>
      </c>
      <c r="B59" s="103" t="s">
        <v>112</v>
      </c>
      <c r="C59" s="63"/>
      <c r="D59" s="63"/>
      <c r="E59" s="122"/>
      <c r="F59" s="122"/>
      <c r="G59" s="109"/>
      <c r="H59" s="109"/>
      <c r="I59" s="101"/>
      <c r="J59" s="101"/>
      <c r="K59" s="101"/>
      <c r="L59" s="109"/>
      <c r="M59" s="109"/>
      <c r="N59" s="109"/>
      <c r="O59" s="109"/>
      <c r="P59" s="109"/>
      <c r="Q59" s="17">
        <f>SUM(E59:P59)</f>
        <v>0</v>
      </c>
    </row>
    <row r="60" spans="1:17" ht="15" thickBot="1">
      <c r="A60" s="110" t="s">
        <v>114</v>
      </c>
      <c r="B60" s="103" t="s">
        <v>113</v>
      </c>
      <c r="C60" s="63"/>
      <c r="D60" s="63"/>
      <c r="E60" s="122"/>
      <c r="F60" s="122"/>
      <c r="G60" s="101"/>
      <c r="H60" s="101"/>
      <c r="I60" s="101"/>
      <c r="J60" s="101"/>
      <c r="K60" s="101"/>
      <c r="L60" s="109"/>
      <c r="M60" s="109"/>
      <c r="N60" s="109"/>
      <c r="O60" s="109"/>
      <c r="P60" s="109"/>
      <c r="Q60" s="17">
        <f>SUM(E60:P60)</f>
        <v>0</v>
      </c>
    </row>
    <row r="61" spans="1:19" s="65" customFormat="1" ht="15" thickBot="1">
      <c r="A61" s="196" t="s">
        <v>203</v>
      </c>
      <c r="B61" s="197"/>
      <c r="C61" s="45">
        <f>+D61/Metas!K29</f>
        <v>1.6708437761069341</v>
      </c>
      <c r="D61" s="19">
        <f>+Q61/R61</f>
        <v>0.06015037593984962</v>
      </c>
      <c r="E61" s="85">
        <f>SUM(E48:E60)</f>
        <v>102</v>
      </c>
      <c r="F61" s="85">
        <f>SUM(F48:F60)</f>
        <v>114</v>
      </c>
      <c r="G61" s="85">
        <f>SUM(G48:G60)</f>
        <v>0</v>
      </c>
      <c r="H61" s="85">
        <f>SUM(H48:H60)</f>
        <v>0</v>
      </c>
      <c r="I61" s="85">
        <f aca="true" t="shared" si="5" ref="I61:P61">SUM(I48:I60)</f>
        <v>0</v>
      </c>
      <c r="J61" s="85">
        <f t="shared" si="5"/>
        <v>0</v>
      </c>
      <c r="K61" s="85">
        <f t="shared" si="5"/>
        <v>0</v>
      </c>
      <c r="L61" s="85">
        <f t="shared" si="5"/>
        <v>0</v>
      </c>
      <c r="M61" s="85">
        <f t="shared" si="5"/>
        <v>0</v>
      </c>
      <c r="N61" s="85">
        <f t="shared" si="5"/>
        <v>0</v>
      </c>
      <c r="O61" s="85">
        <f t="shared" si="5"/>
        <v>0</v>
      </c>
      <c r="P61" s="85">
        <f t="shared" si="5"/>
        <v>0</v>
      </c>
      <c r="Q61" s="14">
        <f>SUM(Q48:Q60)</f>
        <v>216</v>
      </c>
      <c r="R61" s="239">
        <v>3591</v>
      </c>
      <c r="S61" s="240"/>
    </row>
    <row r="62" spans="1:17" ht="15" thickBot="1">
      <c r="A62" s="110" t="s">
        <v>125</v>
      </c>
      <c r="B62" s="103" t="s">
        <v>115</v>
      </c>
      <c r="C62" s="63"/>
      <c r="D62" s="63"/>
      <c r="E62" s="122">
        <v>27</v>
      </c>
      <c r="F62" s="122">
        <v>48</v>
      </c>
      <c r="G62" s="101"/>
      <c r="H62" s="101"/>
      <c r="I62" s="101"/>
      <c r="J62" s="101"/>
      <c r="K62" s="101"/>
      <c r="L62" s="109"/>
      <c r="M62" s="109"/>
      <c r="N62" s="109"/>
      <c r="O62" s="109"/>
      <c r="P62" s="110"/>
      <c r="Q62" s="17">
        <f aca="true" t="shared" si="6" ref="Q62:Q71">SUM(E62:P62)</f>
        <v>75</v>
      </c>
    </row>
    <row r="63" spans="1:17" ht="15" thickBot="1">
      <c r="A63" s="110" t="s">
        <v>125</v>
      </c>
      <c r="B63" s="103" t="s">
        <v>116</v>
      </c>
      <c r="C63" s="63"/>
      <c r="D63" s="63"/>
      <c r="E63" s="122">
        <v>4</v>
      </c>
      <c r="F63" s="122">
        <v>3</v>
      </c>
      <c r="G63" s="101"/>
      <c r="H63" s="101"/>
      <c r="I63" s="101"/>
      <c r="J63" s="101"/>
      <c r="K63" s="101"/>
      <c r="L63" s="109"/>
      <c r="M63" s="109"/>
      <c r="N63" s="109"/>
      <c r="O63" s="109"/>
      <c r="P63" s="110"/>
      <c r="Q63" s="17">
        <f t="shared" si="6"/>
        <v>7</v>
      </c>
    </row>
    <row r="64" spans="1:17" ht="15" thickBot="1">
      <c r="A64" s="110" t="s">
        <v>125</v>
      </c>
      <c r="B64" s="103" t="s">
        <v>117</v>
      </c>
      <c r="C64" s="63"/>
      <c r="D64" s="63"/>
      <c r="E64" s="122">
        <v>1</v>
      </c>
      <c r="F64" s="122"/>
      <c r="G64" s="101"/>
      <c r="H64" s="101"/>
      <c r="I64" s="101"/>
      <c r="J64" s="101"/>
      <c r="K64" s="101"/>
      <c r="L64" s="109"/>
      <c r="M64" s="109"/>
      <c r="N64" s="109"/>
      <c r="O64" s="109"/>
      <c r="P64" s="110"/>
      <c r="Q64" s="17">
        <f t="shared" si="6"/>
        <v>1</v>
      </c>
    </row>
    <row r="65" spans="1:17" ht="15" thickBot="1">
      <c r="A65" s="110" t="s">
        <v>125</v>
      </c>
      <c r="B65" s="103" t="s">
        <v>118</v>
      </c>
      <c r="C65" s="63"/>
      <c r="D65" s="63"/>
      <c r="E65" s="122"/>
      <c r="F65" s="122">
        <v>1</v>
      </c>
      <c r="G65" s="101"/>
      <c r="H65" s="101"/>
      <c r="I65" s="101"/>
      <c r="J65" s="101"/>
      <c r="K65" s="101"/>
      <c r="L65" s="109"/>
      <c r="M65" s="109"/>
      <c r="N65" s="109"/>
      <c r="O65" s="109"/>
      <c r="P65" s="110"/>
      <c r="Q65" s="17">
        <f t="shared" si="6"/>
        <v>1</v>
      </c>
    </row>
    <row r="66" spans="1:17" ht="15" thickBot="1">
      <c r="A66" s="110" t="s">
        <v>125</v>
      </c>
      <c r="B66" s="103" t="s">
        <v>119</v>
      </c>
      <c r="C66" s="63"/>
      <c r="D66" s="63"/>
      <c r="E66" s="122"/>
      <c r="F66" s="122">
        <v>1</v>
      </c>
      <c r="G66" s="101"/>
      <c r="H66" s="101"/>
      <c r="I66" s="101"/>
      <c r="J66" s="101"/>
      <c r="K66" s="101"/>
      <c r="L66" s="109"/>
      <c r="M66" s="109"/>
      <c r="N66" s="109"/>
      <c r="O66" s="109"/>
      <c r="P66" s="110"/>
      <c r="Q66" s="17">
        <f t="shared" si="6"/>
        <v>1</v>
      </c>
    </row>
    <row r="67" spans="1:17" ht="15" thickBot="1">
      <c r="A67" s="110" t="s">
        <v>125</v>
      </c>
      <c r="B67" s="103" t="s">
        <v>120</v>
      </c>
      <c r="C67" s="63"/>
      <c r="D67" s="63"/>
      <c r="E67" s="122"/>
      <c r="F67" s="122">
        <v>3</v>
      </c>
      <c r="G67" s="101"/>
      <c r="H67" s="101"/>
      <c r="I67" s="101"/>
      <c r="J67" s="101"/>
      <c r="K67" s="101"/>
      <c r="L67" s="109"/>
      <c r="M67" s="109"/>
      <c r="N67" s="109"/>
      <c r="O67" s="109"/>
      <c r="P67" s="110"/>
      <c r="Q67" s="17">
        <f t="shared" si="6"/>
        <v>3</v>
      </c>
    </row>
    <row r="68" spans="1:17" ht="15" thickBot="1">
      <c r="A68" s="110" t="s">
        <v>125</v>
      </c>
      <c r="B68" s="103" t="s">
        <v>121</v>
      </c>
      <c r="C68" s="63"/>
      <c r="D68" s="63"/>
      <c r="E68" s="122"/>
      <c r="F68" s="122">
        <v>1</v>
      </c>
      <c r="G68" s="101"/>
      <c r="H68" s="101"/>
      <c r="I68" s="101"/>
      <c r="J68" s="101"/>
      <c r="K68" s="101"/>
      <c r="L68" s="109"/>
      <c r="M68" s="109"/>
      <c r="N68" s="109"/>
      <c r="O68" s="109"/>
      <c r="P68" s="110"/>
      <c r="Q68" s="17">
        <f t="shared" si="6"/>
        <v>1</v>
      </c>
    </row>
    <row r="69" spans="1:17" ht="15" thickBot="1">
      <c r="A69" s="110" t="s">
        <v>125</v>
      </c>
      <c r="B69" s="103" t="s">
        <v>122</v>
      </c>
      <c r="C69" s="63"/>
      <c r="D69" s="63"/>
      <c r="E69" s="122"/>
      <c r="F69" s="122"/>
      <c r="G69" s="101"/>
      <c r="H69" s="101"/>
      <c r="I69" s="101"/>
      <c r="J69" s="101"/>
      <c r="K69" s="101"/>
      <c r="L69" s="109"/>
      <c r="M69" s="109"/>
      <c r="N69" s="109"/>
      <c r="O69" s="109"/>
      <c r="P69" s="110"/>
      <c r="Q69" s="17">
        <f t="shared" si="6"/>
        <v>0</v>
      </c>
    </row>
    <row r="70" spans="1:17" ht="15" thickBot="1">
      <c r="A70" s="110" t="s">
        <v>125</v>
      </c>
      <c r="B70" s="103" t="s">
        <v>123</v>
      </c>
      <c r="C70" s="63"/>
      <c r="D70" s="63"/>
      <c r="E70" s="122"/>
      <c r="F70" s="122"/>
      <c r="G70" s="101"/>
      <c r="H70" s="101"/>
      <c r="I70" s="101"/>
      <c r="J70" s="101"/>
      <c r="K70" s="101"/>
      <c r="L70" s="109"/>
      <c r="M70" s="109"/>
      <c r="N70" s="109"/>
      <c r="O70" s="109"/>
      <c r="P70" s="110"/>
      <c r="Q70" s="17">
        <f t="shared" si="6"/>
        <v>0</v>
      </c>
    </row>
    <row r="71" spans="1:17" ht="15" thickBot="1">
      <c r="A71" s="110" t="s">
        <v>125</v>
      </c>
      <c r="B71" s="103" t="s">
        <v>124</v>
      </c>
      <c r="C71" s="63"/>
      <c r="D71" s="63"/>
      <c r="E71" s="124"/>
      <c r="F71" s="124"/>
      <c r="G71" s="99"/>
      <c r="H71" s="99"/>
      <c r="I71" s="99"/>
      <c r="J71" s="99"/>
      <c r="K71" s="99"/>
      <c r="L71" s="110"/>
      <c r="M71" s="110"/>
      <c r="N71" s="110"/>
      <c r="O71" s="110"/>
      <c r="P71" s="110"/>
      <c r="Q71" s="17">
        <f t="shared" si="6"/>
        <v>0</v>
      </c>
    </row>
    <row r="72" spans="1:19" s="65" customFormat="1" ht="15" thickBot="1">
      <c r="A72" s="196" t="s">
        <v>23</v>
      </c>
      <c r="B72" s="197"/>
      <c r="C72" s="45">
        <f>+D72/Metas!K26</f>
        <v>0.9476149914821123</v>
      </c>
      <c r="D72" s="19">
        <f>+Q72/R72</f>
        <v>0.0379045996592845</v>
      </c>
      <c r="E72" s="85">
        <f>SUM(E62:E71)</f>
        <v>32</v>
      </c>
      <c r="F72" s="85">
        <f aca="true" t="shared" si="7" ref="F72:P72">SUM(F62:F71)</f>
        <v>57</v>
      </c>
      <c r="G72" s="85">
        <f t="shared" si="7"/>
        <v>0</v>
      </c>
      <c r="H72" s="85">
        <f t="shared" si="7"/>
        <v>0</v>
      </c>
      <c r="I72" s="85">
        <f t="shared" si="7"/>
        <v>0</v>
      </c>
      <c r="J72" s="85">
        <f t="shared" si="7"/>
        <v>0</v>
      </c>
      <c r="K72" s="85">
        <f t="shared" si="7"/>
        <v>0</v>
      </c>
      <c r="L72" s="85">
        <f t="shared" si="7"/>
        <v>0</v>
      </c>
      <c r="M72" s="85">
        <f t="shared" si="7"/>
        <v>0</v>
      </c>
      <c r="N72" s="85">
        <f t="shared" si="7"/>
        <v>0</v>
      </c>
      <c r="O72" s="85">
        <f t="shared" si="7"/>
        <v>0</v>
      </c>
      <c r="P72" s="85">
        <f t="shared" si="7"/>
        <v>0</v>
      </c>
      <c r="Q72" s="85">
        <f>SUM(Q62:Q71)</f>
        <v>89</v>
      </c>
      <c r="R72" s="239">
        <v>2348</v>
      </c>
      <c r="S72" s="240"/>
    </row>
    <row r="73" spans="1:17" ht="15" thickBot="1">
      <c r="A73" s="110" t="s">
        <v>131</v>
      </c>
      <c r="B73" s="103" t="s">
        <v>126</v>
      </c>
      <c r="C73" s="63"/>
      <c r="D73" s="63"/>
      <c r="E73" s="122">
        <v>7</v>
      </c>
      <c r="F73" s="122">
        <v>10</v>
      </c>
      <c r="G73" s="101"/>
      <c r="H73" s="101"/>
      <c r="I73" s="101"/>
      <c r="J73" s="101"/>
      <c r="K73" s="101"/>
      <c r="L73" s="109"/>
      <c r="M73" s="109"/>
      <c r="N73" s="109"/>
      <c r="O73" s="109"/>
      <c r="P73" s="65"/>
      <c r="Q73" s="17">
        <f>SUM(E73:P73)</f>
        <v>17</v>
      </c>
    </row>
    <row r="74" spans="1:17" ht="15" thickBot="1">
      <c r="A74" s="110" t="s">
        <v>131</v>
      </c>
      <c r="B74" s="103" t="s">
        <v>127</v>
      </c>
      <c r="C74" s="63"/>
      <c r="D74" s="63"/>
      <c r="E74" s="122"/>
      <c r="F74" s="122">
        <v>4</v>
      </c>
      <c r="G74" s="101"/>
      <c r="H74" s="101"/>
      <c r="I74" s="101"/>
      <c r="J74" s="101"/>
      <c r="K74" s="101"/>
      <c r="L74" s="109"/>
      <c r="M74" s="109"/>
      <c r="N74" s="109"/>
      <c r="O74" s="109"/>
      <c r="Q74" s="17">
        <f>SUM(E74:P74)</f>
        <v>4</v>
      </c>
    </row>
    <row r="75" spans="1:17" ht="15" thickBot="1">
      <c r="A75" s="110" t="s">
        <v>131</v>
      </c>
      <c r="B75" s="103" t="s">
        <v>128</v>
      </c>
      <c r="C75" s="63"/>
      <c r="D75" s="63"/>
      <c r="E75" s="122">
        <v>4</v>
      </c>
      <c r="F75" s="122">
        <v>5</v>
      </c>
      <c r="G75" s="101"/>
      <c r="H75" s="101"/>
      <c r="I75" s="101"/>
      <c r="J75" s="101"/>
      <c r="K75" s="101"/>
      <c r="L75" s="109"/>
      <c r="M75" s="109"/>
      <c r="N75" s="109"/>
      <c r="O75" s="109"/>
      <c r="Q75" s="17">
        <f>SUM(E75:P75)</f>
        <v>9</v>
      </c>
    </row>
    <row r="76" spans="1:17" ht="15" thickBot="1">
      <c r="A76" s="110" t="s">
        <v>131</v>
      </c>
      <c r="B76" s="103" t="s">
        <v>129</v>
      </c>
      <c r="C76" s="63"/>
      <c r="D76" s="63"/>
      <c r="E76" s="122"/>
      <c r="F76" s="122">
        <v>0</v>
      </c>
      <c r="G76" s="109"/>
      <c r="H76" s="109"/>
      <c r="I76" s="109"/>
      <c r="J76" s="109"/>
      <c r="K76" s="109"/>
      <c r="L76" s="109"/>
      <c r="M76" s="109"/>
      <c r="N76" s="109"/>
      <c r="O76" s="109"/>
      <c r="Q76" s="17">
        <f>SUM(E76:P76)</f>
        <v>0</v>
      </c>
    </row>
    <row r="77" spans="1:17" ht="15" thickBot="1">
      <c r="A77" s="110" t="s">
        <v>131</v>
      </c>
      <c r="B77" s="103" t="s">
        <v>130</v>
      </c>
      <c r="C77" s="63"/>
      <c r="D77" s="63"/>
      <c r="E77" s="122"/>
      <c r="F77" s="122">
        <v>6</v>
      </c>
      <c r="G77" s="109"/>
      <c r="H77" s="109"/>
      <c r="I77" s="101"/>
      <c r="J77" s="101"/>
      <c r="K77" s="101"/>
      <c r="L77" s="109"/>
      <c r="M77" s="109"/>
      <c r="N77" s="109"/>
      <c r="O77" s="109"/>
      <c r="Q77" s="17">
        <f>SUM(E77:P77)</f>
        <v>6</v>
      </c>
    </row>
    <row r="78" spans="1:19" s="65" customFormat="1" ht="15" thickBot="1">
      <c r="A78" s="196" t="s">
        <v>204</v>
      </c>
      <c r="B78" s="197"/>
      <c r="C78" s="45">
        <f>+D78/Metas!K31</f>
        <v>0.9369144284821985</v>
      </c>
      <c r="D78" s="19">
        <f>+Q78/R78</f>
        <v>0.022485946283572766</v>
      </c>
      <c r="E78" s="85">
        <f aca="true" t="shared" si="8" ref="E78:Q78">SUM(E73:E77)</f>
        <v>11</v>
      </c>
      <c r="F78" s="85">
        <f t="shared" si="8"/>
        <v>25</v>
      </c>
      <c r="G78" s="85">
        <f t="shared" si="8"/>
        <v>0</v>
      </c>
      <c r="H78" s="85">
        <f t="shared" si="8"/>
        <v>0</v>
      </c>
      <c r="I78" s="85">
        <f t="shared" si="8"/>
        <v>0</v>
      </c>
      <c r="J78" s="85">
        <f t="shared" si="8"/>
        <v>0</v>
      </c>
      <c r="K78" s="85">
        <f t="shared" si="8"/>
        <v>0</v>
      </c>
      <c r="L78" s="85">
        <f t="shared" si="8"/>
        <v>0</v>
      </c>
      <c r="M78" s="85">
        <f t="shared" si="8"/>
        <v>0</v>
      </c>
      <c r="N78" s="85">
        <f t="shared" si="8"/>
        <v>0</v>
      </c>
      <c r="O78" s="85">
        <f t="shared" si="8"/>
        <v>0</v>
      </c>
      <c r="P78" s="85">
        <f t="shared" si="8"/>
        <v>0</v>
      </c>
      <c r="Q78" s="85">
        <f t="shared" si="8"/>
        <v>36</v>
      </c>
      <c r="R78" s="239">
        <v>1601</v>
      </c>
      <c r="S78" s="240"/>
    </row>
    <row r="79" spans="1:17" ht="15" thickBot="1">
      <c r="A79" s="110" t="s">
        <v>142</v>
      </c>
      <c r="B79" s="103" t="s">
        <v>132</v>
      </c>
      <c r="C79" s="63"/>
      <c r="D79" s="63"/>
      <c r="E79" s="122">
        <v>28</v>
      </c>
      <c r="F79" s="122">
        <v>12</v>
      </c>
      <c r="G79" s="101"/>
      <c r="H79" s="101"/>
      <c r="I79" s="101"/>
      <c r="J79" s="101"/>
      <c r="K79" s="101"/>
      <c r="L79" s="109"/>
      <c r="M79" s="109"/>
      <c r="N79" s="109"/>
      <c r="O79" s="109"/>
      <c r="P79" s="109"/>
      <c r="Q79" s="17">
        <f aca="true" t="shared" si="9" ref="Q79:Q88">SUM(E79:P79)</f>
        <v>40</v>
      </c>
    </row>
    <row r="80" spans="1:17" ht="15" thickBot="1">
      <c r="A80" s="110" t="s">
        <v>142</v>
      </c>
      <c r="B80" s="103" t="s">
        <v>133</v>
      </c>
      <c r="C80" s="63"/>
      <c r="D80" s="63"/>
      <c r="E80" s="122">
        <v>60</v>
      </c>
      <c r="F80" s="122">
        <v>28</v>
      </c>
      <c r="G80" s="101"/>
      <c r="H80" s="101"/>
      <c r="I80" s="101"/>
      <c r="J80" s="101"/>
      <c r="K80" s="101"/>
      <c r="L80" s="109"/>
      <c r="M80" s="109"/>
      <c r="N80" s="109"/>
      <c r="O80" s="109"/>
      <c r="P80" s="109"/>
      <c r="Q80" s="17">
        <f t="shared" si="9"/>
        <v>88</v>
      </c>
    </row>
    <row r="81" spans="1:17" ht="15" thickBot="1">
      <c r="A81" s="110" t="s">
        <v>142</v>
      </c>
      <c r="B81" s="103" t="s">
        <v>134</v>
      </c>
      <c r="C81" s="63"/>
      <c r="D81" s="63"/>
      <c r="E81" s="122"/>
      <c r="F81" s="122"/>
      <c r="G81" s="101"/>
      <c r="H81" s="101"/>
      <c r="I81" s="101"/>
      <c r="J81" s="101"/>
      <c r="K81" s="101"/>
      <c r="L81" s="109"/>
      <c r="M81" s="109"/>
      <c r="N81" s="109"/>
      <c r="O81" s="109"/>
      <c r="P81" s="109"/>
      <c r="Q81" s="17">
        <f t="shared" si="9"/>
        <v>0</v>
      </c>
    </row>
    <row r="82" spans="1:17" ht="15" thickBot="1">
      <c r="A82" s="110" t="s">
        <v>142</v>
      </c>
      <c r="B82" s="103" t="s">
        <v>135</v>
      </c>
      <c r="C82" s="63"/>
      <c r="D82" s="63"/>
      <c r="E82" s="122">
        <v>0</v>
      </c>
      <c r="F82" s="122">
        <v>15</v>
      </c>
      <c r="G82" s="101"/>
      <c r="H82" s="101"/>
      <c r="I82" s="101"/>
      <c r="J82" s="101"/>
      <c r="K82" s="101"/>
      <c r="L82" s="109"/>
      <c r="M82" s="109"/>
      <c r="N82" s="109"/>
      <c r="O82" s="109"/>
      <c r="P82" s="109"/>
      <c r="Q82" s="17">
        <f t="shared" si="9"/>
        <v>15</v>
      </c>
    </row>
    <row r="83" spans="1:17" ht="15" thickBot="1">
      <c r="A83" s="110" t="s">
        <v>142</v>
      </c>
      <c r="B83" s="103" t="s">
        <v>136</v>
      </c>
      <c r="C83" s="63"/>
      <c r="D83" s="63"/>
      <c r="E83" s="122">
        <v>26</v>
      </c>
      <c r="F83" s="122">
        <v>3</v>
      </c>
      <c r="G83" s="101"/>
      <c r="H83" s="101"/>
      <c r="I83" s="101"/>
      <c r="J83" s="101"/>
      <c r="K83" s="101"/>
      <c r="L83" s="109"/>
      <c r="M83" s="109"/>
      <c r="N83" s="109"/>
      <c r="O83" s="109"/>
      <c r="P83" s="109"/>
      <c r="Q83" s="17">
        <f t="shared" si="9"/>
        <v>29</v>
      </c>
    </row>
    <row r="84" spans="1:17" ht="15" thickBot="1">
      <c r="A84" s="110" t="s">
        <v>142</v>
      </c>
      <c r="B84" s="103" t="s">
        <v>137</v>
      </c>
      <c r="C84" s="63"/>
      <c r="D84" s="63"/>
      <c r="E84" s="122">
        <v>24</v>
      </c>
      <c r="F84" s="122"/>
      <c r="G84" s="101"/>
      <c r="H84" s="101"/>
      <c r="I84" s="101"/>
      <c r="J84" s="101"/>
      <c r="K84" s="101"/>
      <c r="L84" s="109"/>
      <c r="M84" s="109"/>
      <c r="N84" s="109"/>
      <c r="O84" s="109"/>
      <c r="P84" s="109"/>
      <c r="Q84" s="17">
        <f t="shared" si="9"/>
        <v>24</v>
      </c>
    </row>
    <row r="85" spans="1:17" ht="15" thickBot="1">
      <c r="A85" s="110" t="s">
        <v>142</v>
      </c>
      <c r="B85" s="103" t="s">
        <v>138</v>
      </c>
      <c r="C85" s="63"/>
      <c r="D85" s="63"/>
      <c r="E85" s="122">
        <v>15</v>
      </c>
      <c r="F85" s="122">
        <v>36</v>
      </c>
      <c r="G85" s="101"/>
      <c r="H85" s="101"/>
      <c r="I85" s="101"/>
      <c r="J85" s="101"/>
      <c r="K85" s="101"/>
      <c r="L85" s="109"/>
      <c r="M85" s="109"/>
      <c r="N85" s="109"/>
      <c r="O85" s="109"/>
      <c r="P85" s="109"/>
      <c r="Q85" s="17">
        <f t="shared" si="9"/>
        <v>51</v>
      </c>
    </row>
    <row r="86" spans="1:17" ht="15" thickBot="1">
      <c r="A86" s="110" t="s">
        <v>142</v>
      </c>
      <c r="B86" s="103" t="s">
        <v>139</v>
      </c>
      <c r="C86" s="63"/>
      <c r="D86" s="63"/>
      <c r="E86" s="122">
        <v>43</v>
      </c>
      <c r="F86" s="122">
        <v>57</v>
      </c>
      <c r="G86" s="101"/>
      <c r="H86" s="101"/>
      <c r="I86" s="101"/>
      <c r="J86" s="101"/>
      <c r="K86" s="101"/>
      <c r="L86" s="109"/>
      <c r="M86" s="109"/>
      <c r="N86" s="109"/>
      <c r="O86" s="109"/>
      <c r="P86" s="109"/>
      <c r="Q86" s="17">
        <f t="shared" si="9"/>
        <v>100</v>
      </c>
    </row>
    <row r="87" spans="1:17" ht="15" thickBot="1">
      <c r="A87" s="110" t="s">
        <v>142</v>
      </c>
      <c r="B87" s="103" t="s">
        <v>140</v>
      </c>
      <c r="C87" s="63"/>
      <c r="D87" s="63"/>
      <c r="E87" s="122">
        <v>7</v>
      </c>
      <c r="F87" s="122">
        <v>25</v>
      </c>
      <c r="G87" s="101"/>
      <c r="H87" s="101"/>
      <c r="I87" s="101"/>
      <c r="J87" s="101"/>
      <c r="K87" s="101"/>
      <c r="L87" s="109"/>
      <c r="M87" s="109"/>
      <c r="N87" s="109"/>
      <c r="O87" s="109"/>
      <c r="P87" s="109"/>
      <c r="Q87" s="17">
        <f t="shared" si="9"/>
        <v>32</v>
      </c>
    </row>
    <row r="88" spans="1:17" ht="15" thickBot="1">
      <c r="A88" s="110" t="s">
        <v>142</v>
      </c>
      <c r="B88" s="103" t="s">
        <v>141</v>
      </c>
      <c r="C88" s="63"/>
      <c r="D88" s="63"/>
      <c r="E88" s="122">
        <v>22</v>
      </c>
      <c r="F88" s="122">
        <v>16</v>
      </c>
      <c r="G88" s="101"/>
      <c r="H88" s="101"/>
      <c r="I88" s="101"/>
      <c r="J88" s="101"/>
      <c r="K88" s="101"/>
      <c r="L88" s="109"/>
      <c r="M88" s="109"/>
      <c r="N88" s="109"/>
      <c r="O88" s="109"/>
      <c r="P88" s="109"/>
      <c r="Q88" s="17">
        <f t="shared" si="9"/>
        <v>38</v>
      </c>
    </row>
    <row r="89" spans="1:19" s="65" customFormat="1" ht="15" thickBot="1">
      <c r="A89" s="196" t="s">
        <v>205</v>
      </c>
      <c r="B89" s="197"/>
      <c r="C89" s="45">
        <f>+D89/Metas!K36</f>
        <v>4.273066360618109</v>
      </c>
      <c r="D89" s="19">
        <f>+Q89/R89</f>
        <v>0.13246505717916138</v>
      </c>
      <c r="E89" s="85">
        <f>SUM(E79:E88)</f>
        <v>225</v>
      </c>
      <c r="F89" s="85">
        <f aca="true" t="shared" si="10" ref="F89:P89">SUM(F79:F88)</f>
        <v>192</v>
      </c>
      <c r="G89" s="85">
        <f t="shared" si="10"/>
        <v>0</v>
      </c>
      <c r="H89" s="85">
        <f t="shared" si="10"/>
        <v>0</v>
      </c>
      <c r="I89" s="85">
        <f t="shared" si="10"/>
        <v>0</v>
      </c>
      <c r="J89" s="85">
        <f t="shared" si="10"/>
        <v>0</v>
      </c>
      <c r="K89" s="85">
        <f t="shared" si="10"/>
        <v>0</v>
      </c>
      <c r="L89" s="85">
        <f t="shared" si="10"/>
        <v>0</v>
      </c>
      <c r="M89" s="85">
        <f t="shared" si="10"/>
        <v>0</v>
      </c>
      <c r="N89" s="85">
        <f t="shared" si="10"/>
        <v>0</v>
      </c>
      <c r="O89" s="85">
        <f t="shared" si="10"/>
        <v>0</v>
      </c>
      <c r="P89" s="85">
        <f t="shared" si="10"/>
        <v>0</v>
      </c>
      <c r="Q89" s="85">
        <f>SUM(Q79:Q88)</f>
        <v>417</v>
      </c>
      <c r="R89" s="239">
        <v>3148</v>
      </c>
      <c r="S89" s="240"/>
    </row>
    <row r="90" spans="1:17" ht="15" thickBot="1">
      <c r="A90" s="110" t="s">
        <v>159</v>
      </c>
      <c r="B90" s="103" t="s">
        <v>143</v>
      </c>
      <c r="C90" s="63"/>
      <c r="D90" s="63"/>
      <c r="E90" s="122">
        <v>37</v>
      </c>
      <c r="F90" s="122">
        <v>44</v>
      </c>
      <c r="G90" s="101"/>
      <c r="H90" s="101"/>
      <c r="I90" s="101"/>
      <c r="J90" s="101"/>
      <c r="K90" s="101"/>
      <c r="L90" s="109"/>
      <c r="M90" s="109"/>
      <c r="N90" s="109"/>
      <c r="O90" s="109"/>
      <c r="Q90" s="17">
        <f aca="true" t="shared" si="11" ref="Q90:Q105">SUM(E90:P90)</f>
        <v>81</v>
      </c>
    </row>
    <row r="91" spans="1:17" ht="15" thickBot="1">
      <c r="A91" s="110" t="s">
        <v>159</v>
      </c>
      <c r="B91" s="103" t="s">
        <v>144</v>
      </c>
      <c r="C91" s="63"/>
      <c r="D91" s="63"/>
      <c r="E91" s="122">
        <v>75</v>
      </c>
      <c r="F91" s="122">
        <v>58</v>
      </c>
      <c r="G91" s="101"/>
      <c r="H91" s="101"/>
      <c r="I91" s="101"/>
      <c r="J91" s="101"/>
      <c r="K91" s="101"/>
      <c r="L91" s="109"/>
      <c r="M91" s="109"/>
      <c r="N91" s="109"/>
      <c r="O91" s="109"/>
      <c r="Q91" s="17">
        <f t="shared" si="11"/>
        <v>133</v>
      </c>
    </row>
    <row r="92" spans="1:17" ht="15" thickBot="1">
      <c r="A92" s="110" t="s">
        <v>159</v>
      </c>
      <c r="B92" s="103" t="s">
        <v>145</v>
      </c>
      <c r="C92" s="63"/>
      <c r="D92" s="63"/>
      <c r="E92" s="122">
        <v>131</v>
      </c>
      <c r="F92" s="122">
        <v>205</v>
      </c>
      <c r="G92" s="101"/>
      <c r="H92" s="101"/>
      <c r="I92" s="101"/>
      <c r="J92" s="101"/>
      <c r="K92" s="101"/>
      <c r="L92" s="109"/>
      <c r="M92" s="109"/>
      <c r="N92" s="109"/>
      <c r="O92" s="109"/>
      <c r="Q92" s="17">
        <f t="shared" si="11"/>
        <v>336</v>
      </c>
    </row>
    <row r="93" spans="1:17" ht="15" thickBot="1">
      <c r="A93" s="110" t="s">
        <v>159</v>
      </c>
      <c r="B93" s="103" t="s">
        <v>146</v>
      </c>
      <c r="C93" s="63"/>
      <c r="D93" s="63"/>
      <c r="E93" s="122">
        <v>18</v>
      </c>
      <c r="F93" s="122">
        <v>43</v>
      </c>
      <c r="G93" s="101"/>
      <c r="H93" s="101"/>
      <c r="I93" s="101"/>
      <c r="J93" s="101"/>
      <c r="K93" s="101"/>
      <c r="L93" s="109"/>
      <c r="M93" s="109"/>
      <c r="N93" s="109"/>
      <c r="O93" s="109"/>
      <c r="Q93" s="17">
        <f t="shared" si="11"/>
        <v>61</v>
      </c>
    </row>
    <row r="94" spans="1:17" ht="15" thickBot="1">
      <c r="A94" s="110" t="s">
        <v>159</v>
      </c>
      <c r="B94" s="103" t="s">
        <v>147</v>
      </c>
      <c r="C94" s="63"/>
      <c r="D94" s="63"/>
      <c r="E94" s="122">
        <v>4</v>
      </c>
      <c r="F94" s="122">
        <v>5</v>
      </c>
      <c r="G94" s="101"/>
      <c r="H94" s="101"/>
      <c r="I94" s="101"/>
      <c r="J94" s="101"/>
      <c r="K94" s="101"/>
      <c r="L94" s="109"/>
      <c r="M94" s="109"/>
      <c r="N94" s="109"/>
      <c r="O94" s="109"/>
      <c r="Q94" s="17">
        <f t="shared" si="11"/>
        <v>9</v>
      </c>
    </row>
    <row r="95" spans="1:17" ht="15" thickBot="1">
      <c r="A95" s="110" t="s">
        <v>159</v>
      </c>
      <c r="B95" s="103" t="s">
        <v>148</v>
      </c>
      <c r="C95" s="63"/>
      <c r="D95" s="63"/>
      <c r="E95" s="122"/>
      <c r="F95" s="122">
        <v>3</v>
      </c>
      <c r="G95" s="101"/>
      <c r="H95" s="101"/>
      <c r="I95" s="101"/>
      <c r="J95" s="101"/>
      <c r="K95" s="101"/>
      <c r="L95" s="109"/>
      <c r="M95" s="109"/>
      <c r="N95" s="109"/>
      <c r="O95" s="109"/>
      <c r="Q95" s="17">
        <f t="shared" si="11"/>
        <v>3</v>
      </c>
    </row>
    <row r="96" spans="1:17" ht="15" thickBot="1">
      <c r="A96" s="110" t="s">
        <v>159</v>
      </c>
      <c r="B96" s="103" t="s">
        <v>149</v>
      </c>
      <c r="C96" s="63"/>
      <c r="D96" s="63"/>
      <c r="E96" s="122"/>
      <c r="F96" s="122">
        <v>1</v>
      </c>
      <c r="G96" s="101"/>
      <c r="H96" s="101"/>
      <c r="I96" s="101"/>
      <c r="J96" s="101"/>
      <c r="K96" s="101"/>
      <c r="L96" s="109"/>
      <c r="M96" s="109"/>
      <c r="N96" s="109"/>
      <c r="O96" s="109"/>
      <c r="Q96" s="17">
        <f t="shared" si="11"/>
        <v>1</v>
      </c>
    </row>
    <row r="97" spans="1:17" ht="15" thickBot="1">
      <c r="A97" s="110" t="s">
        <v>159</v>
      </c>
      <c r="B97" s="103" t="s">
        <v>150</v>
      </c>
      <c r="C97" s="63"/>
      <c r="D97" s="63"/>
      <c r="E97" s="122"/>
      <c r="F97" s="122"/>
      <c r="G97" s="101"/>
      <c r="H97" s="101"/>
      <c r="I97" s="101"/>
      <c r="J97" s="101"/>
      <c r="K97" s="101"/>
      <c r="L97" s="109"/>
      <c r="M97" s="109"/>
      <c r="N97" s="109"/>
      <c r="O97" s="109"/>
      <c r="Q97" s="17">
        <f t="shared" si="11"/>
        <v>0</v>
      </c>
    </row>
    <row r="98" spans="1:17" ht="15" thickBot="1">
      <c r="A98" s="110" t="s">
        <v>159</v>
      </c>
      <c r="B98" s="103" t="s">
        <v>151</v>
      </c>
      <c r="C98" s="63"/>
      <c r="D98" s="63"/>
      <c r="E98" s="122">
        <v>5</v>
      </c>
      <c r="F98" s="122">
        <v>2</v>
      </c>
      <c r="G98" s="101"/>
      <c r="H98" s="101"/>
      <c r="I98" s="101"/>
      <c r="J98" s="101"/>
      <c r="K98" s="101"/>
      <c r="L98" s="109"/>
      <c r="M98" s="109"/>
      <c r="N98" s="109"/>
      <c r="O98" s="109"/>
      <c r="Q98" s="17">
        <f t="shared" si="11"/>
        <v>7</v>
      </c>
    </row>
    <row r="99" spans="1:17" ht="15" thickBot="1">
      <c r="A99" s="110" t="s">
        <v>159</v>
      </c>
      <c r="B99" s="103" t="s">
        <v>152</v>
      </c>
      <c r="C99" s="63"/>
      <c r="D99" s="63"/>
      <c r="E99" s="122"/>
      <c r="F99" s="122">
        <v>1</v>
      </c>
      <c r="G99" s="101"/>
      <c r="H99" s="101"/>
      <c r="I99" s="101"/>
      <c r="J99" s="101"/>
      <c r="K99" s="101"/>
      <c r="L99" s="109"/>
      <c r="M99" s="109"/>
      <c r="N99" s="109"/>
      <c r="O99" s="109"/>
      <c r="Q99" s="17">
        <f t="shared" si="11"/>
        <v>1</v>
      </c>
    </row>
    <row r="100" spans="1:17" ht="15" thickBot="1">
      <c r="A100" s="110" t="s">
        <v>159</v>
      </c>
      <c r="B100" s="103" t="s">
        <v>153</v>
      </c>
      <c r="C100" s="63"/>
      <c r="D100" s="63"/>
      <c r="E100" s="122"/>
      <c r="F100" s="122"/>
      <c r="G100" s="101"/>
      <c r="H100" s="101"/>
      <c r="I100" s="101"/>
      <c r="J100" s="101"/>
      <c r="K100" s="101"/>
      <c r="L100" s="109"/>
      <c r="M100" s="109"/>
      <c r="N100" s="109"/>
      <c r="O100" s="109"/>
      <c r="Q100" s="17">
        <f t="shared" si="11"/>
        <v>0</v>
      </c>
    </row>
    <row r="101" spans="1:17" ht="15" thickBot="1">
      <c r="A101" s="110" t="s">
        <v>159</v>
      </c>
      <c r="B101" s="103" t="s">
        <v>154</v>
      </c>
      <c r="C101" s="63"/>
      <c r="D101" s="63"/>
      <c r="E101" s="122"/>
      <c r="F101" s="122"/>
      <c r="G101" s="101"/>
      <c r="H101" s="101"/>
      <c r="I101" s="101"/>
      <c r="J101" s="101"/>
      <c r="K101" s="101"/>
      <c r="L101" s="109"/>
      <c r="M101" s="109"/>
      <c r="N101" s="109"/>
      <c r="O101" s="109"/>
      <c r="Q101" s="17">
        <f t="shared" si="11"/>
        <v>0</v>
      </c>
    </row>
    <row r="102" spans="1:17" ht="15" thickBot="1">
      <c r="A102" s="110" t="s">
        <v>159</v>
      </c>
      <c r="B102" s="103" t="s">
        <v>155</v>
      </c>
      <c r="C102" s="63"/>
      <c r="D102" s="63"/>
      <c r="E102" s="122">
        <v>5</v>
      </c>
      <c r="F102" s="122">
        <v>9</v>
      </c>
      <c r="G102" s="101"/>
      <c r="H102" s="101"/>
      <c r="I102" s="101"/>
      <c r="J102" s="101"/>
      <c r="K102" s="101"/>
      <c r="L102" s="109"/>
      <c r="M102" s="109"/>
      <c r="N102" s="109"/>
      <c r="O102" s="109"/>
      <c r="Q102" s="17">
        <f t="shared" si="11"/>
        <v>14</v>
      </c>
    </row>
    <row r="103" spans="1:17" ht="15" thickBot="1">
      <c r="A103" s="110" t="s">
        <v>159</v>
      </c>
      <c r="B103" s="103" t="s">
        <v>156</v>
      </c>
      <c r="C103" s="63"/>
      <c r="D103" s="63"/>
      <c r="E103" s="122">
        <v>4</v>
      </c>
      <c r="F103" s="122">
        <v>0</v>
      </c>
      <c r="G103" s="101"/>
      <c r="H103" s="101"/>
      <c r="I103" s="101"/>
      <c r="J103" s="101"/>
      <c r="K103" s="101"/>
      <c r="L103" s="109"/>
      <c r="M103" s="109"/>
      <c r="N103" s="109"/>
      <c r="O103" s="109"/>
      <c r="Q103" s="17">
        <f t="shared" si="11"/>
        <v>4</v>
      </c>
    </row>
    <row r="104" spans="1:17" ht="15" thickBot="1">
      <c r="A104" s="110" t="s">
        <v>159</v>
      </c>
      <c r="B104" s="103" t="s">
        <v>157</v>
      </c>
      <c r="C104" s="63"/>
      <c r="D104" s="63"/>
      <c r="E104" s="122">
        <v>36</v>
      </c>
      <c r="F104" s="122">
        <v>9</v>
      </c>
      <c r="G104" s="101"/>
      <c r="H104" s="101"/>
      <c r="I104" s="101"/>
      <c r="J104" s="101"/>
      <c r="K104" s="101"/>
      <c r="L104" s="109"/>
      <c r="M104" s="109"/>
      <c r="N104" s="109"/>
      <c r="O104" s="109"/>
      <c r="Q104" s="17">
        <f t="shared" si="11"/>
        <v>45</v>
      </c>
    </row>
    <row r="105" spans="1:17" ht="15" thickBot="1">
      <c r="A105" s="110" t="s">
        <v>159</v>
      </c>
      <c r="B105" s="103" t="s">
        <v>158</v>
      </c>
      <c r="C105" s="63"/>
      <c r="D105" s="63"/>
      <c r="E105" s="122">
        <v>17</v>
      </c>
      <c r="F105" s="122">
        <v>15</v>
      </c>
      <c r="G105" s="101"/>
      <c r="H105" s="101"/>
      <c r="I105" s="101"/>
      <c r="J105" s="101"/>
      <c r="K105" s="101"/>
      <c r="L105" s="109"/>
      <c r="M105" s="109"/>
      <c r="N105" s="109"/>
      <c r="O105" s="109"/>
      <c r="Q105" s="17">
        <f t="shared" si="11"/>
        <v>32</v>
      </c>
    </row>
    <row r="106" spans="1:19" s="65" customFormat="1" ht="15" thickBot="1">
      <c r="A106" s="196" t="s">
        <v>206</v>
      </c>
      <c r="B106" s="197"/>
      <c r="C106" s="45">
        <f>+D106/Metas!K33</f>
        <v>1.1653834624552561</v>
      </c>
      <c r="D106" s="19">
        <f>+Q106/R106</f>
        <v>0.026803819636470893</v>
      </c>
      <c r="E106" s="85">
        <f>SUM(E90:E105)</f>
        <v>332</v>
      </c>
      <c r="F106" s="85">
        <f aca="true" t="shared" si="12" ref="F106:P106">SUM(F90:F105)</f>
        <v>395</v>
      </c>
      <c r="G106" s="85">
        <f t="shared" si="12"/>
        <v>0</v>
      </c>
      <c r="H106" s="85">
        <f t="shared" si="12"/>
        <v>0</v>
      </c>
      <c r="I106" s="85">
        <f t="shared" si="12"/>
        <v>0</v>
      </c>
      <c r="J106" s="85">
        <f t="shared" si="12"/>
        <v>0</v>
      </c>
      <c r="K106" s="85">
        <f t="shared" si="12"/>
        <v>0</v>
      </c>
      <c r="L106" s="85">
        <f t="shared" si="12"/>
        <v>0</v>
      </c>
      <c r="M106" s="85">
        <f t="shared" si="12"/>
        <v>0</v>
      </c>
      <c r="N106" s="85">
        <f t="shared" si="12"/>
        <v>0</v>
      </c>
      <c r="O106" s="85">
        <f t="shared" si="12"/>
        <v>0</v>
      </c>
      <c r="P106" s="85">
        <f t="shared" si="12"/>
        <v>0</v>
      </c>
      <c r="Q106" s="85">
        <f>SUM(Q90:Q105)</f>
        <v>727</v>
      </c>
      <c r="R106" s="239">
        <v>27123</v>
      </c>
      <c r="S106" s="240"/>
    </row>
    <row r="107" spans="1:17" ht="15" thickBot="1">
      <c r="A107" s="110" t="s">
        <v>172</v>
      </c>
      <c r="B107" s="103" t="s">
        <v>160</v>
      </c>
      <c r="C107" s="63"/>
      <c r="D107" s="63"/>
      <c r="E107" s="122"/>
      <c r="F107" s="122"/>
      <c r="G107" s="101"/>
      <c r="H107" s="101"/>
      <c r="I107" s="101"/>
      <c r="J107" s="101"/>
      <c r="K107" s="101"/>
      <c r="L107" s="109"/>
      <c r="M107" s="109"/>
      <c r="N107" s="109"/>
      <c r="O107" s="109"/>
      <c r="P107" s="109"/>
      <c r="Q107" s="17">
        <f aca="true" t="shared" si="13" ref="Q107:Q118">SUM(E107:P107)</f>
        <v>0</v>
      </c>
    </row>
    <row r="108" spans="1:17" ht="15" thickBot="1">
      <c r="A108" s="110" t="s">
        <v>172</v>
      </c>
      <c r="B108" s="103" t="s">
        <v>161</v>
      </c>
      <c r="C108" s="63"/>
      <c r="D108" s="63"/>
      <c r="E108" s="122"/>
      <c r="F108" s="122"/>
      <c r="G108" s="101"/>
      <c r="H108" s="101"/>
      <c r="I108" s="101"/>
      <c r="J108" s="101"/>
      <c r="K108" s="101"/>
      <c r="L108" s="109"/>
      <c r="M108" s="109"/>
      <c r="N108" s="109"/>
      <c r="O108" s="109"/>
      <c r="P108" s="109"/>
      <c r="Q108" s="17">
        <f t="shared" si="13"/>
        <v>0</v>
      </c>
    </row>
    <row r="109" spans="1:17" ht="15" thickBot="1">
      <c r="A109" s="110" t="s">
        <v>172</v>
      </c>
      <c r="B109" s="103" t="s">
        <v>162</v>
      </c>
      <c r="C109" s="63"/>
      <c r="D109" s="63"/>
      <c r="E109" s="122"/>
      <c r="F109" s="122"/>
      <c r="G109" s="101"/>
      <c r="H109" s="101"/>
      <c r="I109" s="101"/>
      <c r="J109" s="101"/>
      <c r="K109" s="101"/>
      <c r="L109" s="109"/>
      <c r="M109" s="109"/>
      <c r="N109" s="109"/>
      <c r="O109" s="109"/>
      <c r="P109" s="109"/>
      <c r="Q109" s="17">
        <f t="shared" si="13"/>
        <v>0</v>
      </c>
    </row>
    <row r="110" spans="1:17" ht="15" thickBot="1">
      <c r="A110" s="110" t="s">
        <v>172</v>
      </c>
      <c r="B110" s="103" t="s">
        <v>163</v>
      </c>
      <c r="C110" s="63"/>
      <c r="D110" s="63"/>
      <c r="E110" s="122">
        <v>15</v>
      </c>
      <c r="F110" s="122"/>
      <c r="G110" s="101"/>
      <c r="H110" s="101"/>
      <c r="I110" s="101"/>
      <c r="J110" s="101"/>
      <c r="K110" s="101"/>
      <c r="L110" s="109"/>
      <c r="M110" s="109"/>
      <c r="N110" s="109"/>
      <c r="O110" s="109"/>
      <c r="P110" s="109"/>
      <c r="Q110" s="17">
        <f t="shared" si="13"/>
        <v>15</v>
      </c>
    </row>
    <row r="111" spans="1:17" ht="15" thickBot="1">
      <c r="A111" s="110" t="s">
        <v>172</v>
      </c>
      <c r="B111" s="103" t="s">
        <v>164</v>
      </c>
      <c r="C111" s="63"/>
      <c r="D111" s="63"/>
      <c r="E111" s="122"/>
      <c r="F111" s="122"/>
      <c r="G111" s="101"/>
      <c r="H111" s="101"/>
      <c r="I111" s="101"/>
      <c r="J111" s="101"/>
      <c r="K111" s="101"/>
      <c r="L111" s="109"/>
      <c r="M111" s="109"/>
      <c r="N111" s="109"/>
      <c r="O111" s="109"/>
      <c r="P111" s="109"/>
      <c r="Q111" s="17">
        <f t="shared" si="13"/>
        <v>0</v>
      </c>
    </row>
    <row r="112" spans="1:17" ht="15" thickBot="1">
      <c r="A112" s="110" t="s">
        <v>172</v>
      </c>
      <c r="B112" s="103" t="s">
        <v>165</v>
      </c>
      <c r="C112" s="63"/>
      <c r="D112" s="63"/>
      <c r="E112" s="122">
        <v>2</v>
      </c>
      <c r="F112" s="122"/>
      <c r="G112" s="101"/>
      <c r="H112" s="101"/>
      <c r="I112" s="101"/>
      <c r="J112" s="101"/>
      <c r="K112" s="101"/>
      <c r="L112" s="109"/>
      <c r="M112" s="109"/>
      <c r="N112" s="109"/>
      <c r="O112" s="109"/>
      <c r="P112" s="109"/>
      <c r="Q112" s="17">
        <f t="shared" si="13"/>
        <v>2</v>
      </c>
    </row>
    <row r="113" spans="1:17" ht="15" thickBot="1">
      <c r="A113" s="110" t="s">
        <v>172</v>
      </c>
      <c r="B113" s="103" t="s">
        <v>166</v>
      </c>
      <c r="C113" s="63"/>
      <c r="D113" s="63"/>
      <c r="E113" s="122"/>
      <c r="F113" s="122"/>
      <c r="G113" s="101"/>
      <c r="H113" s="101"/>
      <c r="I113" s="101"/>
      <c r="J113" s="101"/>
      <c r="K113" s="101"/>
      <c r="L113" s="109"/>
      <c r="M113" s="109"/>
      <c r="N113" s="109"/>
      <c r="O113" s="109"/>
      <c r="P113" s="109"/>
      <c r="Q113" s="17">
        <f t="shared" si="13"/>
        <v>0</v>
      </c>
    </row>
    <row r="114" spans="1:17" ht="15" thickBot="1">
      <c r="A114" s="110" t="s">
        <v>172</v>
      </c>
      <c r="B114" s="103" t="s">
        <v>167</v>
      </c>
      <c r="C114" s="63"/>
      <c r="D114" s="63"/>
      <c r="E114" s="122"/>
      <c r="F114" s="122"/>
      <c r="G114" s="101"/>
      <c r="H114" s="101"/>
      <c r="I114" s="101"/>
      <c r="J114" s="101"/>
      <c r="K114" s="101"/>
      <c r="L114" s="109"/>
      <c r="M114" s="109"/>
      <c r="N114" s="109"/>
      <c r="O114" s="109"/>
      <c r="P114" s="109"/>
      <c r="Q114" s="17">
        <f t="shared" si="13"/>
        <v>0</v>
      </c>
    </row>
    <row r="115" spans="1:17" ht="15" thickBot="1">
      <c r="A115" s="110" t="s">
        <v>172</v>
      </c>
      <c r="B115" s="103" t="s">
        <v>168</v>
      </c>
      <c r="C115" s="63"/>
      <c r="D115" s="63"/>
      <c r="E115" s="122"/>
      <c r="F115" s="122"/>
      <c r="G115" s="101"/>
      <c r="H115" s="101"/>
      <c r="I115" s="101"/>
      <c r="J115" s="101"/>
      <c r="K115" s="101"/>
      <c r="L115" s="109"/>
      <c r="M115" s="109"/>
      <c r="N115" s="109"/>
      <c r="O115" s="109"/>
      <c r="P115" s="109"/>
      <c r="Q115" s="17">
        <f t="shared" si="13"/>
        <v>0</v>
      </c>
    </row>
    <row r="116" spans="1:17" ht="15" thickBot="1">
      <c r="A116" s="110" t="s">
        <v>172</v>
      </c>
      <c r="B116" s="103" t="s">
        <v>169</v>
      </c>
      <c r="C116" s="63"/>
      <c r="D116" s="63"/>
      <c r="E116" s="122"/>
      <c r="F116" s="122"/>
      <c r="G116" s="101"/>
      <c r="H116" s="101"/>
      <c r="I116" s="101"/>
      <c r="J116" s="101"/>
      <c r="K116" s="101"/>
      <c r="L116" s="109"/>
      <c r="M116" s="109"/>
      <c r="N116" s="109"/>
      <c r="O116" s="109"/>
      <c r="P116" s="109"/>
      <c r="Q116" s="17">
        <f t="shared" si="13"/>
        <v>0</v>
      </c>
    </row>
    <row r="117" spans="1:17" ht="15" thickBot="1">
      <c r="A117" s="110" t="s">
        <v>172</v>
      </c>
      <c r="B117" s="103" t="s">
        <v>170</v>
      </c>
      <c r="C117" s="63"/>
      <c r="D117" s="63"/>
      <c r="E117" s="122"/>
      <c r="F117" s="122"/>
      <c r="G117" s="101"/>
      <c r="H117" s="101"/>
      <c r="I117" s="101"/>
      <c r="J117" s="101"/>
      <c r="K117" s="101"/>
      <c r="L117" s="109"/>
      <c r="M117" s="109"/>
      <c r="N117" s="109"/>
      <c r="O117" s="109"/>
      <c r="P117" s="109"/>
      <c r="Q117" s="17">
        <f t="shared" si="13"/>
        <v>0</v>
      </c>
    </row>
    <row r="118" spans="1:17" ht="15" thickBot="1">
      <c r="A118" s="110" t="s">
        <v>172</v>
      </c>
      <c r="B118" s="103" t="s">
        <v>171</v>
      </c>
      <c r="C118" s="63"/>
      <c r="D118" s="63"/>
      <c r="E118" s="122">
        <v>7</v>
      </c>
      <c r="F118" s="122"/>
      <c r="G118" s="101"/>
      <c r="H118" s="101"/>
      <c r="I118" s="101"/>
      <c r="J118" s="101"/>
      <c r="K118" s="101"/>
      <c r="L118" s="109"/>
      <c r="M118" s="109"/>
      <c r="N118" s="109"/>
      <c r="O118" s="109"/>
      <c r="P118" s="109"/>
      <c r="Q118" s="17">
        <f t="shared" si="13"/>
        <v>7</v>
      </c>
    </row>
    <row r="119" spans="1:19" s="65" customFormat="1" ht="15" thickBot="1">
      <c r="A119" s="196" t="s">
        <v>207</v>
      </c>
      <c r="B119" s="197"/>
      <c r="C119" s="45">
        <f>+D119/Metas!K27</f>
        <v>0.7166746297181079</v>
      </c>
      <c r="D119" s="19">
        <f>+Q119/R119</f>
        <v>0.018633540372670808</v>
      </c>
      <c r="E119" s="85">
        <f>SUM(E107:E118)</f>
        <v>24</v>
      </c>
      <c r="F119" s="85">
        <f aca="true" t="shared" si="14" ref="F119:P119">SUM(F107:F118)</f>
        <v>0</v>
      </c>
      <c r="G119" s="85">
        <f t="shared" si="14"/>
        <v>0</v>
      </c>
      <c r="H119" s="85">
        <f t="shared" si="14"/>
        <v>0</v>
      </c>
      <c r="I119" s="85">
        <f t="shared" si="14"/>
        <v>0</v>
      </c>
      <c r="J119" s="85">
        <f t="shared" si="14"/>
        <v>0</v>
      </c>
      <c r="K119" s="85">
        <f t="shared" si="14"/>
        <v>0</v>
      </c>
      <c r="L119" s="85">
        <f t="shared" si="14"/>
        <v>0</v>
      </c>
      <c r="M119" s="85">
        <f t="shared" si="14"/>
        <v>0</v>
      </c>
      <c r="N119" s="85">
        <f t="shared" si="14"/>
        <v>0</v>
      </c>
      <c r="O119" s="85">
        <f t="shared" si="14"/>
        <v>0</v>
      </c>
      <c r="P119" s="85">
        <f t="shared" si="14"/>
        <v>0</v>
      </c>
      <c r="Q119" s="85">
        <f>SUM(Q107:Q118)</f>
        <v>24</v>
      </c>
      <c r="R119" s="239">
        <v>1288</v>
      </c>
      <c r="S119" s="240"/>
    </row>
    <row r="120" spans="1:17" ht="15" thickBot="1">
      <c r="A120" s="110" t="s">
        <v>186</v>
      </c>
      <c r="B120" s="103" t="s">
        <v>173</v>
      </c>
      <c r="C120" s="63"/>
      <c r="D120" s="63"/>
      <c r="E120" s="122">
        <v>30</v>
      </c>
      <c r="F120" s="122">
        <v>78</v>
      </c>
      <c r="G120" s="101"/>
      <c r="H120" s="101"/>
      <c r="I120" s="101"/>
      <c r="J120" s="101"/>
      <c r="K120" s="101"/>
      <c r="L120" s="109"/>
      <c r="M120" s="109"/>
      <c r="N120" s="109"/>
      <c r="O120" s="109"/>
      <c r="P120" s="109"/>
      <c r="Q120" s="17">
        <f aca="true" t="shared" si="15" ref="Q120:Q132">SUM(E120:P120)</f>
        <v>108</v>
      </c>
    </row>
    <row r="121" spans="1:17" ht="15" thickBot="1">
      <c r="A121" s="110" t="s">
        <v>186</v>
      </c>
      <c r="B121" s="103" t="s">
        <v>174</v>
      </c>
      <c r="C121" s="63"/>
      <c r="D121" s="63"/>
      <c r="E121" s="122">
        <v>23</v>
      </c>
      <c r="F121" s="122">
        <v>9</v>
      </c>
      <c r="G121" s="101"/>
      <c r="H121" s="101"/>
      <c r="I121" s="101"/>
      <c r="J121" s="101"/>
      <c r="K121" s="101"/>
      <c r="L121" s="109"/>
      <c r="M121" s="109"/>
      <c r="N121" s="109"/>
      <c r="O121" s="109"/>
      <c r="P121" s="109"/>
      <c r="Q121" s="17">
        <f t="shared" si="15"/>
        <v>32</v>
      </c>
    </row>
    <row r="122" spans="1:17" ht="15" thickBot="1">
      <c r="A122" s="110" t="s">
        <v>186</v>
      </c>
      <c r="B122" s="103" t="s">
        <v>175</v>
      </c>
      <c r="C122" s="63"/>
      <c r="D122" s="63"/>
      <c r="E122" s="122">
        <v>16</v>
      </c>
      <c r="F122" s="122">
        <v>11</v>
      </c>
      <c r="G122" s="101"/>
      <c r="H122" s="101"/>
      <c r="I122" s="101"/>
      <c r="J122" s="101"/>
      <c r="K122" s="101"/>
      <c r="L122" s="109"/>
      <c r="M122" s="109"/>
      <c r="N122" s="109"/>
      <c r="O122" s="109"/>
      <c r="P122" s="109"/>
      <c r="Q122" s="17">
        <f t="shared" si="15"/>
        <v>27</v>
      </c>
    </row>
    <row r="123" spans="1:17" ht="15" thickBot="1">
      <c r="A123" s="110" t="s">
        <v>186</v>
      </c>
      <c r="B123" s="103" t="s">
        <v>176</v>
      </c>
      <c r="C123" s="63"/>
      <c r="D123" s="63"/>
      <c r="E123" s="122">
        <v>67</v>
      </c>
      <c r="F123" s="122">
        <v>32</v>
      </c>
      <c r="G123" s="101"/>
      <c r="H123" s="101"/>
      <c r="I123" s="101"/>
      <c r="J123" s="101"/>
      <c r="K123" s="101"/>
      <c r="L123" s="109"/>
      <c r="M123" s="109"/>
      <c r="N123" s="109"/>
      <c r="O123" s="109"/>
      <c r="P123" s="109"/>
      <c r="Q123" s="17">
        <f t="shared" si="15"/>
        <v>99</v>
      </c>
    </row>
    <row r="124" spans="1:17" ht="15" thickBot="1">
      <c r="A124" s="110" t="s">
        <v>186</v>
      </c>
      <c r="B124" s="103" t="s">
        <v>177</v>
      </c>
      <c r="C124" s="63"/>
      <c r="D124" s="63"/>
      <c r="E124" s="122"/>
      <c r="F124" s="122"/>
      <c r="G124" s="101"/>
      <c r="H124" s="101"/>
      <c r="I124" s="101"/>
      <c r="J124" s="101"/>
      <c r="K124" s="101"/>
      <c r="L124" s="109"/>
      <c r="M124" s="109"/>
      <c r="N124" s="109"/>
      <c r="O124" s="109"/>
      <c r="P124" s="109"/>
      <c r="Q124" s="17">
        <f t="shared" si="15"/>
        <v>0</v>
      </c>
    </row>
    <row r="125" spans="1:17" ht="15" thickBot="1">
      <c r="A125" s="110" t="s">
        <v>186</v>
      </c>
      <c r="B125" s="103" t="s">
        <v>178</v>
      </c>
      <c r="C125" s="63"/>
      <c r="D125" s="63"/>
      <c r="E125" s="122"/>
      <c r="F125" s="122">
        <v>5</v>
      </c>
      <c r="G125" s="101"/>
      <c r="H125" s="101"/>
      <c r="I125" s="101"/>
      <c r="J125" s="101"/>
      <c r="K125" s="101"/>
      <c r="L125" s="109"/>
      <c r="M125" s="109"/>
      <c r="N125" s="109"/>
      <c r="O125" s="109"/>
      <c r="P125" s="109"/>
      <c r="Q125" s="17">
        <f t="shared" si="15"/>
        <v>5</v>
      </c>
    </row>
    <row r="126" spans="1:17" ht="15" thickBot="1">
      <c r="A126" s="110" t="s">
        <v>186</v>
      </c>
      <c r="B126" s="103" t="s">
        <v>179</v>
      </c>
      <c r="C126" s="63"/>
      <c r="D126" s="63"/>
      <c r="E126" s="122"/>
      <c r="F126" s="122"/>
      <c r="G126" s="101"/>
      <c r="H126" s="101"/>
      <c r="I126" s="101"/>
      <c r="J126" s="101"/>
      <c r="K126" s="101"/>
      <c r="L126" s="109"/>
      <c r="M126" s="109"/>
      <c r="N126" s="109"/>
      <c r="O126" s="109"/>
      <c r="P126" s="109"/>
      <c r="Q126" s="17">
        <f t="shared" si="15"/>
        <v>0</v>
      </c>
    </row>
    <row r="127" spans="1:17" ht="15" thickBot="1">
      <c r="A127" s="110" t="s">
        <v>186</v>
      </c>
      <c r="B127" s="103" t="s">
        <v>180</v>
      </c>
      <c r="C127" s="63"/>
      <c r="D127" s="63"/>
      <c r="E127" s="122">
        <v>1</v>
      </c>
      <c r="F127" s="122">
        <v>1</v>
      </c>
      <c r="G127" s="101"/>
      <c r="H127" s="101"/>
      <c r="I127" s="101"/>
      <c r="J127" s="101"/>
      <c r="K127" s="101"/>
      <c r="L127" s="109"/>
      <c r="M127" s="109"/>
      <c r="N127" s="109"/>
      <c r="O127" s="109"/>
      <c r="P127" s="109"/>
      <c r="Q127" s="17">
        <f t="shared" si="15"/>
        <v>2</v>
      </c>
    </row>
    <row r="128" spans="1:17" ht="15" thickBot="1">
      <c r="A128" s="110" t="s">
        <v>186</v>
      </c>
      <c r="B128" s="103" t="s">
        <v>181</v>
      </c>
      <c r="C128" s="63"/>
      <c r="D128" s="63"/>
      <c r="E128" s="122">
        <v>4</v>
      </c>
      <c r="F128" s="122">
        <v>10</v>
      </c>
      <c r="G128" s="101"/>
      <c r="H128" s="101"/>
      <c r="I128" s="101"/>
      <c r="J128" s="101"/>
      <c r="K128" s="101"/>
      <c r="L128" s="109"/>
      <c r="M128" s="109"/>
      <c r="N128" s="109"/>
      <c r="O128" s="109"/>
      <c r="P128" s="109"/>
      <c r="Q128" s="17">
        <f t="shared" si="15"/>
        <v>14</v>
      </c>
    </row>
    <row r="129" spans="1:17" ht="15" thickBot="1">
      <c r="A129" s="110" t="s">
        <v>186</v>
      </c>
      <c r="B129" s="103" t="s">
        <v>182</v>
      </c>
      <c r="C129" s="63"/>
      <c r="D129" s="63"/>
      <c r="E129" s="122"/>
      <c r="F129" s="122">
        <v>4</v>
      </c>
      <c r="G129" s="101"/>
      <c r="H129" s="101"/>
      <c r="I129" s="101"/>
      <c r="J129" s="101"/>
      <c r="K129" s="101"/>
      <c r="L129" s="109"/>
      <c r="M129" s="109"/>
      <c r="N129" s="109"/>
      <c r="O129" s="109"/>
      <c r="P129" s="109"/>
      <c r="Q129" s="17">
        <f t="shared" si="15"/>
        <v>4</v>
      </c>
    </row>
    <row r="130" spans="1:17" ht="15" thickBot="1">
      <c r="A130" s="110" t="s">
        <v>186</v>
      </c>
      <c r="B130" s="103" t="s">
        <v>183</v>
      </c>
      <c r="C130" s="63"/>
      <c r="D130" s="63"/>
      <c r="E130" s="122">
        <v>3</v>
      </c>
      <c r="F130" s="122">
        <v>3</v>
      </c>
      <c r="G130" s="101"/>
      <c r="H130" s="101"/>
      <c r="I130" s="101"/>
      <c r="J130" s="101"/>
      <c r="K130" s="101"/>
      <c r="L130" s="109"/>
      <c r="M130" s="109"/>
      <c r="N130" s="109"/>
      <c r="O130" s="109"/>
      <c r="P130" s="109"/>
      <c r="Q130" s="17">
        <f t="shared" si="15"/>
        <v>6</v>
      </c>
    </row>
    <row r="131" spans="1:17" ht="15" thickBot="1">
      <c r="A131" s="110" t="s">
        <v>186</v>
      </c>
      <c r="B131" s="103" t="s">
        <v>184</v>
      </c>
      <c r="C131" s="63"/>
      <c r="D131" s="63"/>
      <c r="E131" s="122"/>
      <c r="F131" s="122">
        <v>4</v>
      </c>
      <c r="G131" s="101"/>
      <c r="H131" s="101"/>
      <c r="I131" s="101"/>
      <c r="J131" s="101"/>
      <c r="K131" s="101"/>
      <c r="L131" s="109"/>
      <c r="M131" s="109"/>
      <c r="N131" s="109"/>
      <c r="O131" s="109"/>
      <c r="P131" s="109"/>
      <c r="Q131" s="17">
        <f t="shared" si="15"/>
        <v>4</v>
      </c>
    </row>
    <row r="132" spans="1:17" ht="15" thickBot="1">
      <c r="A132" s="110" t="s">
        <v>186</v>
      </c>
      <c r="B132" s="103" t="s">
        <v>185</v>
      </c>
      <c r="C132" s="63"/>
      <c r="D132" s="63"/>
      <c r="E132" s="122">
        <v>1</v>
      </c>
      <c r="F132" s="122">
        <v>5</v>
      </c>
      <c r="G132" s="101"/>
      <c r="H132" s="101"/>
      <c r="I132" s="101"/>
      <c r="J132" s="101"/>
      <c r="K132" s="101"/>
      <c r="L132" s="109"/>
      <c r="M132" s="109"/>
      <c r="N132" s="109"/>
      <c r="O132" s="109"/>
      <c r="P132" s="109"/>
      <c r="Q132" s="17">
        <f t="shared" si="15"/>
        <v>6</v>
      </c>
    </row>
    <row r="133" spans="1:19" s="65" customFormat="1" ht="15" thickBot="1">
      <c r="A133" s="196" t="s">
        <v>208</v>
      </c>
      <c r="B133" s="197"/>
      <c r="C133" s="45">
        <f>+D133/Metas!K32</f>
        <v>1.6433281945871874</v>
      </c>
      <c r="D133" s="19">
        <f>+Q133/R133</f>
        <v>0.034509892086330936</v>
      </c>
      <c r="E133" s="85">
        <f>SUM(E120:E132)</f>
        <v>145</v>
      </c>
      <c r="F133" s="85">
        <f aca="true" t="shared" si="16" ref="F133:P133">SUM(F120:F132)</f>
        <v>162</v>
      </c>
      <c r="G133" s="85">
        <f t="shared" si="16"/>
        <v>0</v>
      </c>
      <c r="H133" s="85">
        <f t="shared" si="16"/>
        <v>0</v>
      </c>
      <c r="I133" s="85">
        <f t="shared" si="16"/>
        <v>0</v>
      </c>
      <c r="J133" s="85">
        <f t="shared" si="16"/>
        <v>0</v>
      </c>
      <c r="K133" s="85">
        <f t="shared" si="16"/>
        <v>0</v>
      </c>
      <c r="L133" s="85">
        <f t="shared" si="16"/>
        <v>0</v>
      </c>
      <c r="M133" s="85">
        <f t="shared" si="16"/>
        <v>0</v>
      </c>
      <c r="N133" s="85">
        <f t="shared" si="16"/>
        <v>0</v>
      </c>
      <c r="O133" s="85">
        <f t="shared" si="16"/>
        <v>0</v>
      </c>
      <c r="P133" s="85">
        <f t="shared" si="16"/>
        <v>0</v>
      </c>
      <c r="Q133" s="85">
        <f>SUM(Q120:Q132)</f>
        <v>307</v>
      </c>
      <c r="R133" s="239">
        <v>8896</v>
      </c>
      <c r="S133" s="240"/>
    </row>
    <row r="134" spans="1:17" ht="15" thickBot="1">
      <c r="A134" s="110" t="s">
        <v>191</v>
      </c>
      <c r="B134" s="103" t="s">
        <v>187</v>
      </c>
      <c r="C134" s="63"/>
      <c r="D134" s="63"/>
      <c r="E134" s="84">
        <v>41</v>
      </c>
      <c r="F134" s="84">
        <v>80</v>
      </c>
      <c r="G134" s="64"/>
      <c r="H134" s="64"/>
      <c r="I134" s="64"/>
      <c r="J134" s="64"/>
      <c r="K134" s="64"/>
      <c r="Q134" s="17">
        <f>SUM(E134:P134)</f>
        <v>121</v>
      </c>
    </row>
    <row r="135" spans="1:17" ht="15" thickBot="1">
      <c r="A135" s="110" t="s">
        <v>191</v>
      </c>
      <c r="B135" s="103" t="s">
        <v>188</v>
      </c>
      <c r="C135" s="63"/>
      <c r="D135" s="63"/>
      <c r="E135" s="84"/>
      <c r="F135" s="84"/>
      <c r="G135" s="64"/>
      <c r="H135" s="64"/>
      <c r="I135" s="64"/>
      <c r="J135" s="64"/>
      <c r="K135" s="64"/>
      <c r="Q135" s="17">
        <f>SUM(E135:P135)</f>
        <v>0</v>
      </c>
    </row>
    <row r="136" spans="1:17" ht="15" thickBot="1">
      <c r="A136" s="110" t="s">
        <v>191</v>
      </c>
      <c r="B136" s="103" t="s">
        <v>189</v>
      </c>
      <c r="C136" s="63"/>
      <c r="D136" s="63"/>
      <c r="E136" s="84"/>
      <c r="F136" s="84"/>
      <c r="G136" s="64"/>
      <c r="H136" s="64"/>
      <c r="I136" s="64"/>
      <c r="J136" s="64"/>
      <c r="K136" s="64"/>
      <c r="Q136" s="17">
        <f>SUM(E136:P136)</f>
        <v>0</v>
      </c>
    </row>
    <row r="137" spans="1:17" ht="15" thickBot="1">
      <c r="A137" s="110" t="s">
        <v>191</v>
      </c>
      <c r="B137" s="103" t="s">
        <v>190</v>
      </c>
      <c r="C137" s="63"/>
      <c r="D137" s="63"/>
      <c r="E137" s="84"/>
      <c r="F137" s="84"/>
      <c r="G137" s="64"/>
      <c r="H137" s="64"/>
      <c r="I137" s="64"/>
      <c r="J137" s="64"/>
      <c r="K137" s="64"/>
      <c r="Q137" s="17">
        <f>SUM(E137:P137)</f>
        <v>0</v>
      </c>
    </row>
    <row r="138" spans="1:19" s="65" customFormat="1" ht="15" thickBot="1">
      <c r="A138" s="196" t="s">
        <v>209</v>
      </c>
      <c r="B138" s="197"/>
      <c r="C138" s="45">
        <f>+D138/Metas!K34</f>
        <v>1.5735538909696214</v>
      </c>
      <c r="D138" s="19">
        <f>+Q138/R138</f>
        <v>0.03776529338327091</v>
      </c>
      <c r="E138" s="85">
        <f>SUM(E134:E137)</f>
        <v>41</v>
      </c>
      <c r="F138" s="85">
        <f aca="true" t="shared" si="17" ref="F138:P138">SUM(F134:F137)</f>
        <v>80</v>
      </c>
      <c r="G138" s="85">
        <f t="shared" si="17"/>
        <v>0</v>
      </c>
      <c r="H138" s="85">
        <f t="shared" si="17"/>
        <v>0</v>
      </c>
      <c r="I138" s="85">
        <f t="shared" si="17"/>
        <v>0</v>
      </c>
      <c r="J138" s="85">
        <f t="shared" si="17"/>
        <v>0</v>
      </c>
      <c r="K138" s="85">
        <f t="shared" si="17"/>
        <v>0</v>
      </c>
      <c r="L138" s="85">
        <f t="shared" si="17"/>
        <v>0</v>
      </c>
      <c r="M138" s="85">
        <f t="shared" si="17"/>
        <v>0</v>
      </c>
      <c r="N138" s="85">
        <f t="shared" si="17"/>
        <v>0</v>
      </c>
      <c r="O138" s="85">
        <f t="shared" si="17"/>
        <v>0</v>
      </c>
      <c r="P138" s="85">
        <f t="shared" si="17"/>
        <v>0</v>
      </c>
      <c r="Q138" s="85">
        <f>SUM(Q134:Q137)</f>
        <v>121</v>
      </c>
      <c r="R138" s="239">
        <v>3204</v>
      </c>
      <c r="S138" s="240"/>
    </row>
    <row r="139" spans="1:17" ht="15" thickBot="1">
      <c r="A139" s="110" t="s">
        <v>199</v>
      </c>
      <c r="B139" s="103" t="s">
        <v>192</v>
      </c>
      <c r="C139" s="63"/>
      <c r="D139" s="63"/>
      <c r="E139" s="122">
        <v>2</v>
      </c>
      <c r="F139" s="122">
        <v>6</v>
      </c>
      <c r="G139" s="101"/>
      <c r="H139" s="101"/>
      <c r="I139" s="101"/>
      <c r="J139" s="101"/>
      <c r="K139" s="101"/>
      <c r="L139" s="109"/>
      <c r="M139" s="109"/>
      <c r="N139" s="109"/>
      <c r="O139" s="109"/>
      <c r="Q139" s="17">
        <f aca="true" t="shared" si="18" ref="Q139:Q145">SUM(E139:P139)</f>
        <v>8</v>
      </c>
    </row>
    <row r="140" spans="1:17" ht="15" thickBot="1">
      <c r="A140" s="110" t="s">
        <v>199</v>
      </c>
      <c r="B140" s="103" t="s">
        <v>193</v>
      </c>
      <c r="C140" s="63"/>
      <c r="D140" s="63"/>
      <c r="E140" s="122"/>
      <c r="F140" s="122">
        <v>1</v>
      </c>
      <c r="G140" s="101"/>
      <c r="H140" s="101"/>
      <c r="I140" s="101"/>
      <c r="J140" s="101"/>
      <c r="K140" s="101"/>
      <c r="L140" s="109"/>
      <c r="M140" s="109"/>
      <c r="N140" s="109"/>
      <c r="O140" s="109"/>
      <c r="Q140" s="17">
        <f t="shared" si="18"/>
        <v>1</v>
      </c>
    </row>
    <row r="141" spans="1:17" ht="15" thickBot="1">
      <c r="A141" s="110" t="s">
        <v>199</v>
      </c>
      <c r="B141" s="103" t="s">
        <v>194</v>
      </c>
      <c r="C141" s="63"/>
      <c r="D141" s="63"/>
      <c r="E141" s="122"/>
      <c r="F141" s="122">
        <v>1</v>
      </c>
      <c r="G141" s="101"/>
      <c r="H141" s="101"/>
      <c r="I141" s="101"/>
      <c r="J141" s="101"/>
      <c r="K141" s="101"/>
      <c r="L141" s="109"/>
      <c r="M141" s="109"/>
      <c r="N141" s="109"/>
      <c r="O141" s="109"/>
      <c r="Q141" s="17">
        <f t="shared" si="18"/>
        <v>1</v>
      </c>
    </row>
    <row r="142" spans="1:17" ht="15" thickBot="1">
      <c r="A142" s="110" t="s">
        <v>199</v>
      </c>
      <c r="B142" s="103" t="s">
        <v>195</v>
      </c>
      <c r="C142" s="63"/>
      <c r="D142" s="63"/>
      <c r="E142" s="122"/>
      <c r="F142" s="122">
        <v>1</v>
      </c>
      <c r="G142" s="101"/>
      <c r="H142" s="101"/>
      <c r="I142" s="101"/>
      <c r="J142" s="101"/>
      <c r="K142" s="101"/>
      <c r="L142" s="109"/>
      <c r="M142" s="109"/>
      <c r="N142" s="109"/>
      <c r="O142" s="109"/>
      <c r="Q142" s="17">
        <f t="shared" si="18"/>
        <v>1</v>
      </c>
    </row>
    <row r="143" spans="1:17" ht="15" thickBot="1">
      <c r="A143" s="110" t="s">
        <v>199</v>
      </c>
      <c r="B143" s="103" t="s">
        <v>196</v>
      </c>
      <c r="C143" s="63"/>
      <c r="D143" s="63"/>
      <c r="E143" s="122"/>
      <c r="F143" s="122"/>
      <c r="G143" s="101"/>
      <c r="H143" s="101"/>
      <c r="I143" s="101"/>
      <c r="J143" s="101"/>
      <c r="K143" s="101"/>
      <c r="L143" s="109"/>
      <c r="M143" s="109"/>
      <c r="N143" s="109"/>
      <c r="O143" s="109"/>
      <c r="Q143" s="17">
        <f t="shared" si="18"/>
        <v>0</v>
      </c>
    </row>
    <row r="144" spans="1:17" ht="15" thickBot="1">
      <c r="A144" s="110" t="s">
        <v>199</v>
      </c>
      <c r="B144" s="103" t="s">
        <v>197</v>
      </c>
      <c r="C144" s="63"/>
      <c r="D144" s="63"/>
      <c r="E144" s="122">
        <v>1</v>
      </c>
      <c r="F144" s="122">
        <v>0</v>
      </c>
      <c r="G144" s="101"/>
      <c r="H144" s="101"/>
      <c r="I144" s="101"/>
      <c r="J144" s="101"/>
      <c r="K144" s="101"/>
      <c r="L144" s="109"/>
      <c r="M144" s="109"/>
      <c r="N144" s="109"/>
      <c r="O144" s="109"/>
      <c r="Q144" s="17">
        <f t="shared" si="18"/>
        <v>1</v>
      </c>
    </row>
    <row r="145" spans="1:17" ht="15" thickBot="1">
      <c r="A145" s="110" t="s">
        <v>199</v>
      </c>
      <c r="B145" s="103" t="s">
        <v>198</v>
      </c>
      <c r="C145" s="63"/>
      <c r="D145" s="63"/>
      <c r="E145" s="122"/>
      <c r="F145" s="122">
        <v>3</v>
      </c>
      <c r="G145" s="101"/>
      <c r="H145" s="101"/>
      <c r="I145" s="101"/>
      <c r="J145" s="101"/>
      <c r="K145" s="101"/>
      <c r="L145" s="109"/>
      <c r="M145" s="109"/>
      <c r="N145" s="109"/>
      <c r="O145" s="109"/>
      <c r="Q145" s="17">
        <f t="shared" si="18"/>
        <v>3</v>
      </c>
    </row>
    <row r="146" spans="1:19" s="65" customFormat="1" ht="15" thickBot="1">
      <c r="A146" s="196" t="s">
        <v>210</v>
      </c>
      <c r="B146" s="197"/>
      <c r="C146" s="45">
        <f>+D146/Metas!K35</f>
        <v>0.4100377234705592</v>
      </c>
      <c r="D146" s="19">
        <f>+Q146/R146</f>
        <v>0.015991471215351813</v>
      </c>
      <c r="E146" s="85">
        <f>SUM(E139:E145)</f>
        <v>3</v>
      </c>
      <c r="F146" s="85">
        <f aca="true" t="shared" si="19" ref="F146:P146">SUM(F139:F145)</f>
        <v>12</v>
      </c>
      <c r="G146" s="85">
        <f t="shared" si="19"/>
        <v>0</v>
      </c>
      <c r="H146" s="85">
        <f t="shared" si="19"/>
        <v>0</v>
      </c>
      <c r="I146" s="85">
        <f t="shared" si="19"/>
        <v>0</v>
      </c>
      <c r="J146" s="85">
        <f t="shared" si="19"/>
        <v>0</v>
      </c>
      <c r="K146" s="85">
        <f t="shared" si="19"/>
        <v>0</v>
      </c>
      <c r="L146" s="85">
        <f t="shared" si="19"/>
        <v>0</v>
      </c>
      <c r="M146" s="85">
        <f t="shared" si="19"/>
        <v>0</v>
      </c>
      <c r="N146" s="85">
        <f t="shared" si="19"/>
        <v>0</v>
      </c>
      <c r="O146" s="85">
        <f t="shared" si="19"/>
        <v>0</v>
      </c>
      <c r="P146" s="85">
        <f t="shared" si="19"/>
        <v>0</v>
      </c>
      <c r="Q146" s="85">
        <f>SUM(Q139:Q145)</f>
        <v>15</v>
      </c>
      <c r="R146" s="239">
        <v>938</v>
      </c>
      <c r="S146" s="240"/>
    </row>
    <row r="147" spans="2:19" ht="14.25">
      <c r="B147" s="148" t="s">
        <v>215</v>
      </c>
      <c r="C147" s="72"/>
      <c r="D147" s="81"/>
      <c r="E147" s="84">
        <f aca="true" t="shared" si="20" ref="E147:S147">+E25+E36+E47+E61+E72+E78+E89+E106+E119+E133+E138+E146</f>
        <v>2157</v>
      </c>
      <c r="F147" s="84">
        <f t="shared" si="20"/>
        <v>2087</v>
      </c>
      <c r="G147" s="69">
        <f t="shared" si="20"/>
        <v>0</v>
      </c>
      <c r="H147" s="69">
        <f t="shared" si="20"/>
        <v>0</v>
      </c>
      <c r="I147" s="69">
        <f t="shared" si="20"/>
        <v>0</v>
      </c>
      <c r="J147" s="69">
        <f t="shared" si="20"/>
        <v>0</v>
      </c>
      <c r="K147" s="69">
        <f t="shared" si="20"/>
        <v>0</v>
      </c>
      <c r="L147" s="69">
        <f t="shared" si="20"/>
        <v>0</v>
      </c>
      <c r="M147" s="69">
        <f t="shared" si="20"/>
        <v>0</v>
      </c>
      <c r="N147" s="69">
        <f t="shared" si="20"/>
        <v>0</v>
      </c>
      <c r="O147" s="69">
        <f t="shared" si="20"/>
        <v>0</v>
      </c>
      <c r="P147" s="69">
        <f t="shared" si="20"/>
        <v>0</v>
      </c>
      <c r="Q147" s="76">
        <f t="shared" si="20"/>
        <v>4244</v>
      </c>
      <c r="R147" s="241">
        <f t="shared" si="20"/>
        <v>167240</v>
      </c>
      <c r="S147" s="241">
        <f t="shared" si="20"/>
        <v>0</v>
      </c>
    </row>
    <row r="148" spans="3:4" ht="14.25">
      <c r="C148" s="74"/>
      <c r="D148" s="98"/>
    </row>
    <row r="150" ht="14.25">
      <c r="Q150" s="69"/>
    </row>
  </sheetData>
  <sheetProtection/>
  <mergeCells count="34">
    <mergeCell ref="R147:S147"/>
    <mergeCell ref="A133:B133"/>
    <mergeCell ref="R133:S133"/>
    <mergeCell ref="A138:B138"/>
    <mergeCell ref="R138:S138"/>
    <mergeCell ref="A146:B146"/>
    <mergeCell ref="R146:S146"/>
    <mergeCell ref="A89:B89"/>
    <mergeCell ref="R89:S89"/>
    <mergeCell ref="A106:B106"/>
    <mergeCell ref="R106:S106"/>
    <mergeCell ref="A119:B119"/>
    <mergeCell ref="R119:S119"/>
    <mergeCell ref="A61:B61"/>
    <mergeCell ref="R61:S61"/>
    <mergeCell ref="A72:B72"/>
    <mergeCell ref="R72:S72"/>
    <mergeCell ref="A78:B78"/>
    <mergeCell ref="R78:S78"/>
    <mergeCell ref="A47:B47"/>
    <mergeCell ref="R47:S47"/>
    <mergeCell ref="A25:B25"/>
    <mergeCell ref="R25:S25"/>
    <mergeCell ref="A36:B36"/>
    <mergeCell ref="R36:S36"/>
    <mergeCell ref="R2:S9"/>
    <mergeCell ref="R10:S11"/>
    <mergeCell ref="E1:S1"/>
    <mergeCell ref="A1:A10"/>
    <mergeCell ref="B1:B10"/>
    <mergeCell ref="E2:Q9"/>
    <mergeCell ref="E10:Q10"/>
    <mergeCell ref="D1:D10"/>
    <mergeCell ref="C1:C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48"/>
  <sheetViews>
    <sheetView zoomScale="80" zoomScaleNormal="8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11.421875" defaultRowHeight="15"/>
  <cols>
    <col min="1" max="1" width="26.00390625" style="110" bestFit="1" customWidth="1"/>
    <col min="2" max="2" width="50.28125" style="110" bestFit="1" customWidth="1"/>
    <col min="3" max="3" width="14.421875" style="62" customWidth="1"/>
    <col min="4" max="4" width="11.57421875" style="62" bestFit="1" customWidth="1"/>
    <col min="5" max="5" width="7.421875" style="76" customWidth="1"/>
    <col min="6" max="6" width="8.421875" style="76" bestFit="1" customWidth="1"/>
    <col min="7" max="7" width="7.28125" style="76" customWidth="1"/>
    <col min="8" max="11" width="6.28125" style="76" bestFit="1" customWidth="1"/>
    <col min="12" max="12" width="8.8515625" style="76" customWidth="1"/>
    <col min="13" max="13" width="9.00390625" style="76" customWidth="1"/>
    <col min="14" max="14" width="8.28125" style="76" customWidth="1"/>
    <col min="15" max="15" width="9.140625" style="76" customWidth="1"/>
    <col min="16" max="16" width="8.28125" style="76" customWidth="1"/>
    <col min="17" max="18" width="9.7109375" style="76" bestFit="1" customWidth="1"/>
    <col min="19" max="23" width="8.7109375" style="76" bestFit="1" customWidth="1"/>
    <col min="24" max="24" width="6.28125" style="76" bestFit="1" customWidth="1"/>
    <col min="25" max="25" width="10.28125" style="76" customWidth="1"/>
    <col min="26" max="26" width="7.140625" style="76" customWidth="1"/>
    <col min="27" max="27" width="7.421875" style="76" customWidth="1"/>
    <col min="28" max="28" width="8.57421875" style="76" customWidth="1"/>
    <col min="29" max="29" width="7.57421875" style="76" customWidth="1"/>
    <col min="30" max="30" width="9.7109375" style="76" bestFit="1" customWidth="1"/>
    <col min="31" max="16384" width="11.421875" style="62" customWidth="1"/>
  </cols>
  <sheetData>
    <row r="1" spans="1:30" ht="73.5" customHeight="1" thickBot="1" thickTop="1">
      <c r="A1" s="204" t="s">
        <v>0</v>
      </c>
      <c r="B1" s="198" t="s">
        <v>1</v>
      </c>
      <c r="C1" s="198" t="s">
        <v>217</v>
      </c>
      <c r="D1" s="222" t="s">
        <v>213</v>
      </c>
      <c r="E1" s="233" t="s">
        <v>45</v>
      </c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</row>
    <row r="2" spans="1:30" ht="15" customHeight="1">
      <c r="A2" s="205"/>
      <c r="B2" s="208"/>
      <c r="C2" s="199"/>
      <c r="D2" s="223"/>
      <c r="E2" s="242" t="s">
        <v>3</v>
      </c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2" t="s">
        <v>4</v>
      </c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8"/>
    </row>
    <row r="3" spans="1:30" ht="15" customHeight="1">
      <c r="A3" s="205"/>
      <c r="B3" s="208"/>
      <c r="C3" s="199"/>
      <c r="D3" s="223"/>
      <c r="E3" s="244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4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9"/>
    </row>
    <row r="4" spans="1:30" ht="15" customHeight="1">
      <c r="A4" s="205"/>
      <c r="B4" s="208"/>
      <c r="C4" s="199"/>
      <c r="D4" s="223"/>
      <c r="E4" s="244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4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9"/>
    </row>
    <row r="5" spans="1:30" ht="15" customHeight="1">
      <c r="A5" s="205"/>
      <c r="B5" s="208"/>
      <c r="C5" s="199"/>
      <c r="D5" s="223"/>
      <c r="E5" s="244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4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9"/>
    </row>
    <row r="6" spans="1:30" ht="15" customHeight="1">
      <c r="A6" s="205"/>
      <c r="B6" s="208"/>
      <c r="C6" s="199"/>
      <c r="D6" s="223"/>
      <c r="E6" s="244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4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9"/>
    </row>
    <row r="7" spans="1:30" ht="15" customHeight="1">
      <c r="A7" s="205"/>
      <c r="B7" s="208"/>
      <c r="C7" s="199"/>
      <c r="D7" s="223"/>
      <c r="E7" s="244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4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9"/>
    </row>
    <row r="8" spans="1:30" ht="15" customHeight="1">
      <c r="A8" s="205"/>
      <c r="B8" s="208"/>
      <c r="C8" s="199"/>
      <c r="D8" s="223"/>
      <c r="E8" s="244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4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9"/>
    </row>
    <row r="9" spans="1:30" ht="15.75" customHeight="1" thickBot="1">
      <c r="A9" s="205"/>
      <c r="B9" s="208"/>
      <c r="C9" s="199"/>
      <c r="D9" s="223"/>
      <c r="E9" s="246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6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50"/>
    </row>
    <row r="10" spans="1:30" ht="57.75" customHeight="1" thickBot="1">
      <c r="A10" s="206"/>
      <c r="B10" s="200"/>
      <c r="C10" s="199"/>
      <c r="D10" s="224"/>
      <c r="E10" s="251" t="s">
        <v>46</v>
      </c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2" t="s">
        <v>47</v>
      </c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3"/>
    </row>
    <row r="11" spans="1:30" ht="33" thickBot="1">
      <c r="A11" s="149"/>
      <c r="B11" s="149"/>
      <c r="C11" s="200"/>
      <c r="D11" s="140" t="s">
        <v>214</v>
      </c>
      <c r="E11" s="144" t="s">
        <v>9</v>
      </c>
      <c r="F11" s="144" t="s">
        <v>10</v>
      </c>
      <c r="G11" s="144" t="s">
        <v>11</v>
      </c>
      <c r="H11" s="144" t="s">
        <v>12</v>
      </c>
      <c r="I11" s="144" t="s">
        <v>13</v>
      </c>
      <c r="J11" s="144" t="s">
        <v>14</v>
      </c>
      <c r="K11" s="144" t="s">
        <v>15</v>
      </c>
      <c r="L11" s="144" t="s">
        <v>16</v>
      </c>
      <c r="M11" s="144" t="s">
        <v>17</v>
      </c>
      <c r="N11" s="144" t="s">
        <v>18</v>
      </c>
      <c r="O11" s="144" t="s">
        <v>19</v>
      </c>
      <c r="P11" s="144" t="s">
        <v>20</v>
      </c>
      <c r="Q11" s="144" t="s">
        <v>21</v>
      </c>
      <c r="R11" s="144" t="s">
        <v>9</v>
      </c>
      <c r="S11" s="144" t="s">
        <v>10</v>
      </c>
      <c r="T11" s="144" t="s">
        <v>11</v>
      </c>
      <c r="U11" s="144" t="s">
        <v>12</v>
      </c>
      <c r="V11" s="144" t="s">
        <v>13</v>
      </c>
      <c r="W11" s="144" t="s">
        <v>14</v>
      </c>
      <c r="X11" s="144" t="s">
        <v>15</v>
      </c>
      <c r="Y11" s="144" t="s">
        <v>16</v>
      </c>
      <c r="Z11" s="144" t="s">
        <v>17</v>
      </c>
      <c r="AA11" s="144" t="s">
        <v>18</v>
      </c>
      <c r="AB11" s="144" t="s">
        <v>19</v>
      </c>
      <c r="AC11" s="144" t="s">
        <v>20</v>
      </c>
      <c r="AD11" s="144" t="s">
        <v>21</v>
      </c>
    </row>
    <row r="12" spans="1:30" ht="15" thickBot="1">
      <c r="A12" s="110" t="s">
        <v>78</v>
      </c>
      <c r="B12" s="103" t="s">
        <v>65</v>
      </c>
      <c r="C12" s="63"/>
      <c r="D12" s="63"/>
      <c r="E12" s="125">
        <v>22</v>
      </c>
      <c r="F12" s="125">
        <v>19</v>
      </c>
      <c r="G12" s="125"/>
      <c r="H12" s="125"/>
      <c r="I12" s="125"/>
      <c r="J12" s="125"/>
      <c r="K12" s="125"/>
      <c r="L12" s="125"/>
      <c r="M12" s="125"/>
      <c r="N12" s="125"/>
      <c r="O12" s="125"/>
      <c r="P12" s="84"/>
      <c r="Q12" s="17">
        <f aca="true" t="shared" si="0" ref="Q12:Q60">SUM(E12:P12)</f>
        <v>41</v>
      </c>
      <c r="R12" s="84">
        <v>22</v>
      </c>
      <c r="S12" s="84">
        <v>19</v>
      </c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17">
        <f aca="true" t="shared" si="1" ref="AD12:AD60">SUM(R12:AC12)</f>
        <v>41</v>
      </c>
    </row>
    <row r="13" spans="1:30" ht="15" thickBot="1">
      <c r="A13" s="110" t="s">
        <v>78</v>
      </c>
      <c r="B13" s="103" t="s">
        <v>66</v>
      </c>
      <c r="C13" s="63"/>
      <c r="D13" s="63"/>
      <c r="E13" s="125">
        <v>13</v>
      </c>
      <c r="F13" s="125">
        <v>14</v>
      </c>
      <c r="G13" s="125"/>
      <c r="H13" s="125"/>
      <c r="I13" s="125"/>
      <c r="J13" s="125"/>
      <c r="K13" s="125"/>
      <c r="L13" s="125"/>
      <c r="M13" s="125"/>
      <c r="N13" s="125"/>
      <c r="O13" s="125"/>
      <c r="P13" s="84"/>
      <c r="Q13" s="17">
        <f t="shared" si="0"/>
        <v>27</v>
      </c>
      <c r="R13" s="84">
        <v>13</v>
      </c>
      <c r="S13" s="84">
        <v>14</v>
      </c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17">
        <f t="shared" si="1"/>
        <v>27</v>
      </c>
    </row>
    <row r="14" spans="1:30" ht="15" thickBot="1">
      <c r="A14" s="110" t="s">
        <v>78</v>
      </c>
      <c r="B14" s="103" t="s">
        <v>67</v>
      </c>
      <c r="C14" s="63"/>
      <c r="D14" s="63"/>
      <c r="E14" s="125">
        <v>6</v>
      </c>
      <c r="F14" s="125">
        <v>2</v>
      </c>
      <c r="G14" s="125"/>
      <c r="H14" s="125"/>
      <c r="I14" s="125"/>
      <c r="J14" s="125"/>
      <c r="K14" s="125"/>
      <c r="L14" s="125"/>
      <c r="M14" s="125"/>
      <c r="N14" s="125"/>
      <c r="O14" s="125"/>
      <c r="P14" s="84"/>
      <c r="Q14" s="17">
        <f t="shared" si="0"/>
        <v>8</v>
      </c>
      <c r="R14" s="84">
        <v>6</v>
      </c>
      <c r="S14" s="84">
        <v>2</v>
      </c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17">
        <f t="shared" si="1"/>
        <v>8</v>
      </c>
    </row>
    <row r="15" spans="1:30" ht="15" thickBot="1">
      <c r="A15" s="110" t="s">
        <v>78</v>
      </c>
      <c r="B15" s="103" t="s">
        <v>68</v>
      </c>
      <c r="C15" s="63"/>
      <c r="D15" s="63"/>
      <c r="E15" s="125">
        <v>0</v>
      </c>
      <c r="F15" s="125">
        <v>0</v>
      </c>
      <c r="G15" s="125"/>
      <c r="H15" s="125"/>
      <c r="I15" s="125"/>
      <c r="J15" s="125"/>
      <c r="K15" s="125"/>
      <c r="L15" s="125"/>
      <c r="M15" s="125"/>
      <c r="N15" s="125"/>
      <c r="O15" s="125"/>
      <c r="P15" s="84"/>
      <c r="Q15" s="17">
        <f t="shared" si="0"/>
        <v>0</v>
      </c>
      <c r="R15" s="84">
        <v>0</v>
      </c>
      <c r="S15" s="84">
        <v>0</v>
      </c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17">
        <f t="shared" si="1"/>
        <v>0</v>
      </c>
    </row>
    <row r="16" spans="1:30" ht="15" thickBot="1">
      <c r="A16" s="110" t="s">
        <v>78</v>
      </c>
      <c r="B16" s="103" t="s">
        <v>69</v>
      </c>
      <c r="C16" s="66"/>
      <c r="D16" s="63"/>
      <c r="E16" s="125">
        <v>6</v>
      </c>
      <c r="F16" s="125">
        <v>0</v>
      </c>
      <c r="G16" s="125"/>
      <c r="H16" s="125"/>
      <c r="I16" s="125"/>
      <c r="J16" s="125"/>
      <c r="K16" s="125"/>
      <c r="L16" s="125"/>
      <c r="M16" s="125"/>
      <c r="N16" s="125"/>
      <c r="O16" s="125"/>
      <c r="P16" s="84"/>
      <c r="Q16" s="17">
        <f t="shared" si="0"/>
        <v>6</v>
      </c>
      <c r="R16" s="84">
        <v>6</v>
      </c>
      <c r="S16" s="84">
        <v>0</v>
      </c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17">
        <f t="shared" si="1"/>
        <v>6</v>
      </c>
    </row>
    <row r="17" spans="1:30" ht="15" thickBot="1">
      <c r="A17" s="110" t="s">
        <v>78</v>
      </c>
      <c r="B17" s="103" t="s">
        <v>70</v>
      </c>
      <c r="C17" s="63"/>
      <c r="D17" s="63"/>
      <c r="E17" s="125">
        <v>6</v>
      </c>
      <c r="F17" s="125">
        <v>7</v>
      </c>
      <c r="G17" s="125"/>
      <c r="H17" s="125"/>
      <c r="I17" s="125"/>
      <c r="J17" s="125"/>
      <c r="K17" s="125"/>
      <c r="L17" s="125"/>
      <c r="M17" s="125"/>
      <c r="N17" s="125"/>
      <c r="O17" s="125"/>
      <c r="P17" s="84"/>
      <c r="Q17" s="17">
        <f t="shared" si="0"/>
        <v>13</v>
      </c>
      <c r="R17" s="84">
        <v>6</v>
      </c>
      <c r="S17" s="84">
        <v>7</v>
      </c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17">
        <f t="shared" si="1"/>
        <v>13</v>
      </c>
    </row>
    <row r="18" spans="1:30" ht="15" thickBot="1">
      <c r="A18" s="110" t="s">
        <v>78</v>
      </c>
      <c r="B18" s="103" t="s">
        <v>71</v>
      </c>
      <c r="C18" s="63"/>
      <c r="D18" s="63"/>
      <c r="E18" s="125"/>
      <c r="F18" s="125">
        <v>1</v>
      </c>
      <c r="G18" s="125"/>
      <c r="H18" s="125"/>
      <c r="I18" s="125"/>
      <c r="J18" s="125"/>
      <c r="K18" s="125"/>
      <c r="L18" s="125"/>
      <c r="M18" s="125"/>
      <c r="N18" s="125"/>
      <c r="O18" s="125"/>
      <c r="P18" s="84"/>
      <c r="Q18" s="17">
        <f t="shared" si="0"/>
        <v>1</v>
      </c>
      <c r="R18" s="84"/>
      <c r="S18" s="84">
        <v>1</v>
      </c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17">
        <f t="shared" si="1"/>
        <v>1</v>
      </c>
    </row>
    <row r="19" spans="1:30" ht="15" thickBot="1">
      <c r="A19" s="110" t="s">
        <v>78</v>
      </c>
      <c r="B19" s="103" t="s">
        <v>72</v>
      </c>
      <c r="C19" s="63"/>
      <c r="D19" s="63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17">
        <f t="shared" si="0"/>
        <v>0</v>
      </c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17">
        <f t="shared" si="1"/>
        <v>0</v>
      </c>
    </row>
    <row r="20" spans="1:30" ht="15" thickBot="1">
      <c r="A20" s="110" t="s">
        <v>78</v>
      </c>
      <c r="B20" s="103" t="s">
        <v>73</v>
      </c>
      <c r="C20" s="63"/>
      <c r="D20" s="63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17">
        <f t="shared" si="0"/>
        <v>0</v>
      </c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17">
        <f t="shared" si="1"/>
        <v>0</v>
      </c>
    </row>
    <row r="21" spans="1:30" ht="15" thickBot="1">
      <c r="A21" s="110" t="s">
        <v>78</v>
      </c>
      <c r="B21" s="103" t="s">
        <v>74</v>
      </c>
      <c r="C21" s="67"/>
      <c r="D21" s="63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17">
        <f t="shared" si="0"/>
        <v>0</v>
      </c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17">
        <f t="shared" si="1"/>
        <v>0</v>
      </c>
    </row>
    <row r="22" spans="1:30" ht="15" thickBot="1">
      <c r="A22" s="110" t="s">
        <v>78</v>
      </c>
      <c r="B22" s="103" t="s">
        <v>75</v>
      </c>
      <c r="C22" s="63"/>
      <c r="D22" s="63"/>
      <c r="E22" s="84"/>
      <c r="F22" s="84">
        <v>1</v>
      </c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17">
        <f t="shared" si="0"/>
        <v>1</v>
      </c>
      <c r="R22" s="84"/>
      <c r="S22" s="84">
        <v>1</v>
      </c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17">
        <f t="shared" si="1"/>
        <v>1</v>
      </c>
    </row>
    <row r="23" spans="1:30" ht="15" thickBot="1">
      <c r="A23" s="110" t="s">
        <v>78</v>
      </c>
      <c r="B23" s="103" t="s">
        <v>76</v>
      </c>
      <c r="C23" s="63"/>
      <c r="D23" s="63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17">
        <f t="shared" si="0"/>
        <v>0</v>
      </c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17">
        <f t="shared" si="1"/>
        <v>0</v>
      </c>
    </row>
    <row r="24" spans="1:30" ht="15" thickBot="1">
      <c r="A24" s="110" t="s">
        <v>78</v>
      </c>
      <c r="B24" s="103" t="s">
        <v>77</v>
      </c>
      <c r="C24" s="63"/>
      <c r="D24" s="63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17">
        <f t="shared" si="0"/>
        <v>0</v>
      </c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17">
        <f>SUM(R24:AC24)</f>
        <v>0</v>
      </c>
    </row>
    <row r="25" spans="1:30" ht="15" thickBot="1">
      <c r="A25" s="196" t="s">
        <v>200</v>
      </c>
      <c r="B25" s="197"/>
      <c r="C25" s="45">
        <f>+D25/Metas!L30</f>
        <v>1.0204081632653061</v>
      </c>
      <c r="D25" s="19">
        <f>+Q25/AD25</f>
        <v>1</v>
      </c>
      <c r="E25" s="85">
        <f aca="true" t="shared" si="2" ref="E25:J25">SUM(E12:E24)</f>
        <v>53</v>
      </c>
      <c r="F25" s="85">
        <f t="shared" si="2"/>
        <v>44</v>
      </c>
      <c r="G25" s="85">
        <f t="shared" si="2"/>
        <v>0</v>
      </c>
      <c r="H25" s="85">
        <f t="shared" si="2"/>
        <v>0</v>
      </c>
      <c r="I25" s="85">
        <f t="shared" si="2"/>
        <v>0</v>
      </c>
      <c r="J25" s="85">
        <f t="shared" si="2"/>
        <v>0</v>
      </c>
      <c r="K25" s="85">
        <f aca="true" t="shared" si="3" ref="K25:AC25">SUM(K12:K24)</f>
        <v>0</v>
      </c>
      <c r="L25" s="85">
        <f t="shared" si="3"/>
        <v>0</v>
      </c>
      <c r="M25" s="85">
        <f t="shared" si="3"/>
        <v>0</v>
      </c>
      <c r="N25" s="85">
        <f t="shared" si="3"/>
        <v>0</v>
      </c>
      <c r="O25" s="85">
        <f t="shared" si="3"/>
        <v>0</v>
      </c>
      <c r="P25" s="85">
        <f t="shared" si="3"/>
        <v>0</v>
      </c>
      <c r="Q25" s="14">
        <f>SUM(Q12:Q24)</f>
        <v>97</v>
      </c>
      <c r="R25" s="85">
        <f>SUM(R12:R24)</f>
        <v>53</v>
      </c>
      <c r="S25" s="85">
        <f t="shared" si="3"/>
        <v>44</v>
      </c>
      <c r="T25" s="85">
        <f t="shared" si="3"/>
        <v>0</v>
      </c>
      <c r="U25" s="85">
        <f t="shared" si="3"/>
        <v>0</v>
      </c>
      <c r="V25" s="85">
        <f t="shared" si="3"/>
        <v>0</v>
      </c>
      <c r="W25" s="85">
        <f t="shared" si="3"/>
        <v>0</v>
      </c>
      <c r="X25" s="85">
        <f t="shared" si="3"/>
        <v>0</v>
      </c>
      <c r="Y25" s="85">
        <f t="shared" si="3"/>
        <v>0</v>
      </c>
      <c r="Z25" s="85">
        <f t="shared" si="3"/>
        <v>0</v>
      </c>
      <c r="AA25" s="85">
        <f t="shared" si="3"/>
        <v>0</v>
      </c>
      <c r="AB25" s="85">
        <f t="shared" si="3"/>
        <v>0</v>
      </c>
      <c r="AC25" s="85">
        <f t="shared" si="3"/>
        <v>0</v>
      </c>
      <c r="AD25" s="14">
        <f>SUM(AD12:AD24)</f>
        <v>97</v>
      </c>
    </row>
    <row r="26" spans="1:30" ht="15" thickBot="1">
      <c r="A26" s="110" t="s">
        <v>79</v>
      </c>
      <c r="B26" s="103" t="s">
        <v>80</v>
      </c>
      <c r="C26" s="63"/>
      <c r="D26" s="63"/>
      <c r="E26" s="84">
        <v>8</v>
      </c>
      <c r="F26" s="84">
        <v>14</v>
      </c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17">
        <f t="shared" si="0"/>
        <v>22</v>
      </c>
      <c r="R26" s="84">
        <v>8</v>
      </c>
      <c r="S26" s="84">
        <v>14</v>
      </c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17">
        <f t="shared" si="1"/>
        <v>22</v>
      </c>
    </row>
    <row r="27" spans="1:30" ht="15" thickBot="1">
      <c r="A27" s="110" t="s">
        <v>79</v>
      </c>
      <c r="B27" s="103" t="s">
        <v>81</v>
      </c>
      <c r="C27" s="63"/>
      <c r="D27" s="63"/>
      <c r="E27" s="84">
        <v>9</v>
      </c>
      <c r="F27" s="84">
        <v>19</v>
      </c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17">
        <f t="shared" si="0"/>
        <v>28</v>
      </c>
      <c r="R27" s="84">
        <v>9</v>
      </c>
      <c r="S27" s="84">
        <v>19</v>
      </c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17">
        <f t="shared" si="1"/>
        <v>28</v>
      </c>
    </row>
    <row r="28" spans="1:30" ht="15" thickBot="1">
      <c r="A28" s="110" t="s">
        <v>79</v>
      </c>
      <c r="B28" s="103" t="s">
        <v>82</v>
      </c>
      <c r="C28" s="63"/>
      <c r="D28" s="63"/>
      <c r="E28" s="84">
        <v>4</v>
      </c>
      <c r="F28" s="84">
        <v>3</v>
      </c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17">
        <f t="shared" si="0"/>
        <v>7</v>
      </c>
      <c r="R28" s="84">
        <v>4</v>
      </c>
      <c r="S28" s="84">
        <v>3</v>
      </c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17">
        <f t="shared" si="1"/>
        <v>7</v>
      </c>
    </row>
    <row r="29" spans="1:30" ht="15" thickBot="1">
      <c r="A29" s="110" t="s">
        <v>79</v>
      </c>
      <c r="B29" s="103" t="s">
        <v>83</v>
      </c>
      <c r="C29" s="63"/>
      <c r="D29" s="63"/>
      <c r="E29" s="84">
        <v>2</v>
      </c>
      <c r="F29" s="84">
        <v>2</v>
      </c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17">
        <f t="shared" si="0"/>
        <v>4</v>
      </c>
      <c r="R29" s="84">
        <v>2</v>
      </c>
      <c r="S29" s="84">
        <v>2</v>
      </c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17">
        <f t="shared" si="1"/>
        <v>4</v>
      </c>
    </row>
    <row r="30" spans="1:30" ht="15" thickBot="1">
      <c r="A30" s="110" t="s">
        <v>79</v>
      </c>
      <c r="B30" s="103" t="s">
        <v>84</v>
      </c>
      <c r="C30" s="63"/>
      <c r="D30" s="63"/>
      <c r="E30" s="84">
        <v>35</v>
      </c>
      <c r="F30" s="84">
        <v>28</v>
      </c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17">
        <f t="shared" si="0"/>
        <v>63</v>
      </c>
      <c r="R30" s="84">
        <v>35</v>
      </c>
      <c r="S30" s="84">
        <v>28</v>
      </c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17">
        <f t="shared" si="1"/>
        <v>63</v>
      </c>
    </row>
    <row r="31" spans="1:30" ht="15" thickBot="1">
      <c r="A31" s="110" t="s">
        <v>79</v>
      </c>
      <c r="B31" s="103" t="s">
        <v>85</v>
      </c>
      <c r="C31" s="63"/>
      <c r="D31" s="63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17">
        <f t="shared" si="0"/>
        <v>0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17">
        <f t="shared" si="1"/>
        <v>0</v>
      </c>
    </row>
    <row r="32" spans="1:30" ht="15" thickBot="1">
      <c r="A32" s="110" t="s">
        <v>79</v>
      </c>
      <c r="B32" s="103" t="s">
        <v>86</v>
      </c>
      <c r="C32" s="63"/>
      <c r="D32" s="63"/>
      <c r="E32" s="84"/>
      <c r="F32" s="84">
        <v>1</v>
      </c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17">
        <f t="shared" si="0"/>
        <v>1</v>
      </c>
      <c r="R32" s="84"/>
      <c r="S32" s="84">
        <v>1</v>
      </c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17">
        <f t="shared" si="1"/>
        <v>1</v>
      </c>
    </row>
    <row r="33" spans="1:30" ht="15" thickBot="1">
      <c r="A33" s="110" t="s">
        <v>79</v>
      </c>
      <c r="B33" s="103" t="s">
        <v>87</v>
      </c>
      <c r="C33" s="63"/>
      <c r="D33" s="63"/>
      <c r="E33" s="84">
        <v>0</v>
      </c>
      <c r="F33" s="84">
        <v>3</v>
      </c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17">
        <f t="shared" si="0"/>
        <v>3</v>
      </c>
      <c r="R33" s="84">
        <v>0</v>
      </c>
      <c r="S33" s="84">
        <v>3</v>
      </c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17">
        <f t="shared" si="1"/>
        <v>3</v>
      </c>
    </row>
    <row r="34" spans="1:30" ht="15" thickBot="1">
      <c r="A34" s="110" t="s">
        <v>79</v>
      </c>
      <c r="B34" s="103" t="s">
        <v>88</v>
      </c>
      <c r="C34" s="63"/>
      <c r="D34" s="63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17">
        <f t="shared" si="0"/>
        <v>0</v>
      </c>
      <c r="R34" s="84"/>
      <c r="S34" s="84">
        <v>0</v>
      </c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17">
        <f t="shared" si="1"/>
        <v>0</v>
      </c>
    </row>
    <row r="35" spans="1:30" ht="15" thickBot="1">
      <c r="A35" s="110" t="s">
        <v>79</v>
      </c>
      <c r="B35" s="103" t="s">
        <v>89</v>
      </c>
      <c r="C35" s="63"/>
      <c r="D35" s="63"/>
      <c r="E35" s="84"/>
      <c r="F35" s="84">
        <v>0</v>
      </c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17">
        <f t="shared" si="0"/>
        <v>0</v>
      </c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17">
        <f t="shared" si="1"/>
        <v>0</v>
      </c>
    </row>
    <row r="36" spans="1:30" ht="15" thickBot="1">
      <c r="A36" s="196" t="s">
        <v>201</v>
      </c>
      <c r="B36" s="197"/>
      <c r="C36" s="45">
        <f>+D36/Metas!L28</f>
        <v>1.0204081632653061</v>
      </c>
      <c r="D36" s="19">
        <f>+Q36/AD36</f>
        <v>1</v>
      </c>
      <c r="E36" s="55">
        <f aca="true" t="shared" si="4" ref="E36:AD36">SUM(E26:E35)</f>
        <v>58</v>
      </c>
      <c r="F36" s="55">
        <f t="shared" si="4"/>
        <v>70</v>
      </c>
      <c r="G36" s="55">
        <f t="shared" si="4"/>
        <v>0</v>
      </c>
      <c r="H36" s="55">
        <f t="shared" si="4"/>
        <v>0</v>
      </c>
      <c r="I36" s="55">
        <f t="shared" si="4"/>
        <v>0</v>
      </c>
      <c r="J36" s="55">
        <f t="shared" si="4"/>
        <v>0</v>
      </c>
      <c r="K36" s="55">
        <f t="shared" si="4"/>
        <v>0</v>
      </c>
      <c r="L36" s="55">
        <f t="shared" si="4"/>
        <v>0</v>
      </c>
      <c r="M36" s="55">
        <f t="shared" si="4"/>
        <v>0</v>
      </c>
      <c r="N36" s="55">
        <f t="shared" si="4"/>
        <v>0</v>
      </c>
      <c r="O36" s="55">
        <f t="shared" si="4"/>
        <v>0</v>
      </c>
      <c r="P36" s="55">
        <f t="shared" si="4"/>
        <v>0</v>
      </c>
      <c r="Q36" s="14">
        <f t="shared" si="4"/>
        <v>128</v>
      </c>
      <c r="R36" s="55">
        <f t="shared" si="4"/>
        <v>58</v>
      </c>
      <c r="S36" s="55">
        <f t="shared" si="4"/>
        <v>70</v>
      </c>
      <c r="T36" s="55">
        <f t="shared" si="4"/>
        <v>0</v>
      </c>
      <c r="U36" s="55">
        <f t="shared" si="4"/>
        <v>0</v>
      </c>
      <c r="V36" s="55">
        <f t="shared" si="4"/>
        <v>0</v>
      </c>
      <c r="W36" s="55">
        <f t="shared" si="4"/>
        <v>0</v>
      </c>
      <c r="X36" s="55">
        <f t="shared" si="4"/>
        <v>0</v>
      </c>
      <c r="Y36" s="55">
        <f t="shared" si="4"/>
        <v>0</v>
      </c>
      <c r="Z36" s="55">
        <f t="shared" si="4"/>
        <v>0</v>
      </c>
      <c r="AA36" s="55">
        <f t="shared" si="4"/>
        <v>0</v>
      </c>
      <c r="AB36" s="55">
        <f t="shared" si="4"/>
        <v>0</v>
      </c>
      <c r="AC36" s="55">
        <f t="shared" si="4"/>
        <v>0</v>
      </c>
      <c r="AD36" s="14">
        <f t="shared" si="4"/>
        <v>128</v>
      </c>
    </row>
    <row r="37" spans="1:30" ht="15" thickBot="1">
      <c r="A37" s="110" t="s">
        <v>100</v>
      </c>
      <c r="B37" s="103" t="s">
        <v>90</v>
      </c>
      <c r="C37" s="63"/>
      <c r="D37" s="63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17">
        <f t="shared" si="0"/>
        <v>0</v>
      </c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17">
        <f t="shared" si="1"/>
        <v>0</v>
      </c>
    </row>
    <row r="38" spans="1:30" ht="15" thickBot="1">
      <c r="A38" s="110" t="s">
        <v>100</v>
      </c>
      <c r="B38" s="103" t="s">
        <v>91</v>
      </c>
      <c r="C38" s="63"/>
      <c r="D38" s="63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17">
        <f t="shared" si="0"/>
        <v>0</v>
      </c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17">
        <f t="shared" si="1"/>
        <v>0</v>
      </c>
    </row>
    <row r="39" spans="1:30" ht="15" thickBot="1">
      <c r="A39" s="110" t="s">
        <v>100</v>
      </c>
      <c r="B39" s="103" t="s">
        <v>92</v>
      </c>
      <c r="C39" s="63"/>
      <c r="D39" s="63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17">
        <f t="shared" si="0"/>
        <v>0</v>
      </c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17">
        <f t="shared" si="1"/>
        <v>0</v>
      </c>
    </row>
    <row r="40" spans="1:30" ht="15" thickBot="1">
      <c r="A40" s="110" t="s">
        <v>100</v>
      </c>
      <c r="B40" s="103" t="s">
        <v>93</v>
      </c>
      <c r="C40" s="63"/>
      <c r="D40" s="63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17">
        <f t="shared" si="0"/>
        <v>0</v>
      </c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17">
        <f t="shared" si="1"/>
        <v>0</v>
      </c>
    </row>
    <row r="41" spans="1:30" ht="15" thickBot="1">
      <c r="A41" s="110" t="s">
        <v>100</v>
      </c>
      <c r="B41" s="103" t="s">
        <v>94</v>
      </c>
      <c r="C41" s="63"/>
      <c r="D41" s="63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17">
        <f t="shared" si="0"/>
        <v>0</v>
      </c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17">
        <f t="shared" si="1"/>
        <v>0</v>
      </c>
    </row>
    <row r="42" spans="1:30" ht="15" thickBot="1">
      <c r="A42" s="110" t="s">
        <v>100</v>
      </c>
      <c r="B42" s="103" t="s">
        <v>95</v>
      </c>
      <c r="C42" s="63"/>
      <c r="D42" s="63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17">
        <f t="shared" si="0"/>
        <v>0</v>
      </c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17">
        <f t="shared" si="1"/>
        <v>0</v>
      </c>
    </row>
    <row r="43" spans="1:30" ht="15" thickBot="1">
      <c r="A43" s="110" t="s">
        <v>100</v>
      </c>
      <c r="B43" s="103" t="s">
        <v>96</v>
      </c>
      <c r="C43" s="63"/>
      <c r="D43" s="63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17">
        <f t="shared" si="0"/>
        <v>0</v>
      </c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17">
        <f t="shared" si="1"/>
        <v>0</v>
      </c>
    </row>
    <row r="44" spans="1:30" ht="15" thickBot="1">
      <c r="A44" s="110" t="s">
        <v>100</v>
      </c>
      <c r="B44" s="103" t="s">
        <v>97</v>
      </c>
      <c r="C44" s="63"/>
      <c r="D44" s="63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17">
        <f t="shared" si="0"/>
        <v>0</v>
      </c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17">
        <f t="shared" si="1"/>
        <v>0</v>
      </c>
    </row>
    <row r="45" spans="1:30" ht="15" thickBot="1">
      <c r="A45" s="110" t="s">
        <v>100</v>
      </c>
      <c r="B45" s="103" t="s">
        <v>98</v>
      </c>
      <c r="C45" s="63"/>
      <c r="D45" s="63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17">
        <f t="shared" si="0"/>
        <v>0</v>
      </c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17">
        <f t="shared" si="1"/>
        <v>0</v>
      </c>
    </row>
    <row r="46" spans="1:30" ht="15" thickBot="1">
      <c r="A46" s="110" t="s">
        <v>100</v>
      </c>
      <c r="B46" s="103" t="s">
        <v>99</v>
      </c>
      <c r="C46" s="63"/>
      <c r="D46" s="6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17">
        <f t="shared" si="0"/>
        <v>0</v>
      </c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17">
        <f t="shared" si="1"/>
        <v>0</v>
      </c>
    </row>
    <row r="47" spans="1:30" ht="22.5" customHeight="1" thickBot="1">
      <c r="A47" s="196" t="s">
        <v>202</v>
      </c>
      <c r="B47" s="197"/>
      <c r="C47" s="45" t="e">
        <f>+D47/Metas!L37</f>
        <v>#DIV/0!</v>
      </c>
      <c r="D47" s="19" t="e">
        <f>+Q47/AD47</f>
        <v>#DIV/0!</v>
      </c>
      <c r="E47" s="55">
        <f>SUM(E37:E46)</f>
        <v>0</v>
      </c>
      <c r="F47" s="55">
        <f aca="true" t="shared" si="5" ref="F47:P47">SUM(F37:F46)</f>
        <v>0</v>
      </c>
      <c r="G47" s="55">
        <f t="shared" si="5"/>
        <v>0</v>
      </c>
      <c r="H47" s="55">
        <f t="shared" si="5"/>
        <v>0</v>
      </c>
      <c r="I47" s="55">
        <f t="shared" si="5"/>
        <v>0</v>
      </c>
      <c r="J47" s="55">
        <f t="shared" si="5"/>
        <v>0</v>
      </c>
      <c r="K47" s="55">
        <f t="shared" si="5"/>
        <v>0</v>
      </c>
      <c r="L47" s="55">
        <f t="shared" si="5"/>
        <v>0</v>
      </c>
      <c r="M47" s="55">
        <f t="shared" si="5"/>
        <v>0</v>
      </c>
      <c r="N47" s="55">
        <f t="shared" si="5"/>
        <v>0</v>
      </c>
      <c r="O47" s="55">
        <f t="shared" si="5"/>
        <v>0</v>
      </c>
      <c r="P47" s="55">
        <f t="shared" si="5"/>
        <v>0</v>
      </c>
      <c r="Q47" s="14">
        <f>SUM(Q37:Q46)</f>
        <v>0</v>
      </c>
      <c r="R47" s="55">
        <f aca="true" t="shared" si="6" ref="R47:AC47">SUM(R37:R46)</f>
        <v>0</v>
      </c>
      <c r="S47" s="55">
        <f t="shared" si="6"/>
        <v>0</v>
      </c>
      <c r="T47" s="55">
        <f t="shared" si="6"/>
        <v>0</v>
      </c>
      <c r="U47" s="55">
        <f t="shared" si="6"/>
        <v>0</v>
      </c>
      <c r="V47" s="55">
        <f t="shared" si="6"/>
        <v>0</v>
      </c>
      <c r="W47" s="55">
        <f t="shared" si="6"/>
        <v>0</v>
      </c>
      <c r="X47" s="55">
        <f t="shared" si="6"/>
        <v>0</v>
      </c>
      <c r="Y47" s="55">
        <f t="shared" si="6"/>
        <v>0</v>
      </c>
      <c r="Z47" s="55">
        <f t="shared" si="6"/>
        <v>0</v>
      </c>
      <c r="AA47" s="55">
        <f t="shared" si="6"/>
        <v>0</v>
      </c>
      <c r="AB47" s="55">
        <f t="shared" si="6"/>
        <v>0</v>
      </c>
      <c r="AC47" s="55">
        <f t="shared" si="6"/>
        <v>0</v>
      </c>
      <c r="AD47" s="14">
        <f>SUM(AD37:AD46)</f>
        <v>0</v>
      </c>
    </row>
    <row r="48" spans="1:30" ht="15" thickBot="1">
      <c r="A48" s="110" t="s">
        <v>114</v>
      </c>
      <c r="B48" s="103" t="s">
        <v>101</v>
      </c>
      <c r="C48" s="63"/>
      <c r="D48" s="63"/>
      <c r="E48" s="84"/>
      <c r="F48" s="84">
        <v>4</v>
      </c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17">
        <f t="shared" si="0"/>
        <v>4</v>
      </c>
      <c r="R48" s="84"/>
      <c r="S48" s="84">
        <v>4</v>
      </c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17">
        <f t="shared" si="1"/>
        <v>4</v>
      </c>
    </row>
    <row r="49" spans="1:30" ht="15" thickBot="1">
      <c r="A49" s="110" t="s">
        <v>114</v>
      </c>
      <c r="B49" s="103" t="s">
        <v>102</v>
      </c>
      <c r="C49" s="63"/>
      <c r="D49" s="63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17">
        <f t="shared" si="0"/>
        <v>0</v>
      </c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17">
        <f t="shared" si="1"/>
        <v>0</v>
      </c>
    </row>
    <row r="50" spans="1:30" ht="15" thickBot="1">
      <c r="A50" s="110" t="s">
        <v>114</v>
      </c>
      <c r="B50" s="103" t="s">
        <v>103</v>
      </c>
      <c r="C50" s="63"/>
      <c r="D50" s="63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17">
        <f t="shared" si="0"/>
        <v>0</v>
      </c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17">
        <f t="shared" si="1"/>
        <v>0</v>
      </c>
    </row>
    <row r="51" spans="1:30" ht="15" thickBot="1">
      <c r="A51" s="110" t="s">
        <v>114</v>
      </c>
      <c r="B51" s="103" t="s">
        <v>104</v>
      </c>
      <c r="C51" s="63"/>
      <c r="D51" s="63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17">
        <f t="shared" si="0"/>
        <v>0</v>
      </c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17">
        <f t="shared" si="1"/>
        <v>0</v>
      </c>
    </row>
    <row r="52" spans="1:30" ht="15" thickBot="1">
      <c r="A52" s="110" t="s">
        <v>114</v>
      </c>
      <c r="B52" s="103" t="s">
        <v>105</v>
      </c>
      <c r="C52" s="63"/>
      <c r="D52" s="63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17">
        <f t="shared" si="0"/>
        <v>0</v>
      </c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17">
        <f t="shared" si="1"/>
        <v>0</v>
      </c>
    </row>
    <row r="53" spans="1:30" ht="15" thickBot="1">
      <c r="A53" s="110" t="s">
        <v>114</v>
      </c>
      <c r="B53" s="103" t="s">
        <v>106</v>
      </c>
      <c r="C53" s="63"/>
      <c r="D53" s="63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17">
        <f t="shared" si="0"/>
        <v>0</v>
      </c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17">
        <f t="shared" si="1"/>
        <v>0</v>
      </c>
    </row>
    <row r="54" spans="1:30" ht="15" thickBot="1">
      <c r="A54" s="110" t="s">
        <v>114</v>
      </c>
      <c r="B54" s="103" t="s">
        <v>107</v>
      </c>
      <c r="C54" s="63"/>
      <c r="D54" s="63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17">
        <f t="shared" si="0"/>
        <v>0</v>
      </c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17">
        <f t="shared" si="1"/>
        <v>0</v>
      </c>
    </row>
    <row r="55" spans="1:30" ht="15" thickBot="1">
      <c r="A55" s="110" t="s">
        <v>114</v>
      </c>
      <c r="B55" s="103" t="s">
        <v>108</v>
      </c>
      <c r="C55" s="63"/>
      <c r="D55" s="6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17">
        <f t="shared" si="0"/>
        <v>0</v>
      </c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17">
        <f t="shared" si="1"/>
        <v>0</v>
      </c>
    </row>
    <row r="56" spans="1:30" ht="15" thickBot="1">
      <c r="A56" s="110" t="s">
        <v>114</v>
      </c>
      <c r="B56" s="103" t="s">
        <v>109</v>
      </c>
      <c r="C56" s="63"/>
      <c r="D56" s="63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17">
        <f t="shared" si="0"/>
        <v>0</v>
      </c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17">
        <f t="shared" si="1"/>
        <v>0</v>
      </c>
    </row>
    <row r="57" spans="1:30" ht="15" thickBot="1">
      <c r="A57" s="110" t="s">
        <v>114</v>
      </c>
      <c r="B57" s="103" t="s">
        <v>110</v>
      </c>
      <c r="C57" s="63"/>
      <c r="D57" s="63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17">
        <f t="shared" si="0"/>
        <v>0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17">
        <f t="shared" si="1"/>
        <v>0</v>
      </c>
    </row>
    <row r="58" spans="1:30" ht="15" thickBot="1">
      <c r="A58" s="110" t="s">
        <v>114</v>
      </c>
      <c r="B58" s="103" t="s">
        <v>111</v>
      </c>
      <c r="C58" s="63"/>
      <c r="D58" s="63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17">
        <f t="shared" si="0"/>
        <v>0</v>
      </c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17">
        <f t="shared" si="1"/>
        <v>0</v>
      </c>
    </row>
    <row r="59" spans="1:30" ht="15" thickBot="1">
      <c r="A59" s="110" t="s">
        <v>114</v>
      </c>
      <c r="B59" s="103" t="s">
        <v>112</v>
      </c>
      <c r="C59" s="63"/>
      <c r="D59" s="63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17">
        <f t="shared" si="0"/>
        <v>0</v>
      </c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17">
        <f t="shared" si="1"/>
        <v>0</v>
      </c>
    </row>
    <row r="60" spans="1:30" ht="15" thickBot="1">
      <c r="A60" s="110" t="s">
        <v>114</v>
      </c>
      <c r="B60" s="103" t="s">
        <v>113</v>
      </c>
      <c r="C60" s="63"/>
      <c r="D60" s="63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17">
        <f t="shared" si="0"/>
        <v>0</v>
      </c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17">
        <f t="shared" si="1"/>
        <v>0</v>
      </c>
    </row>
    <row r="61" spans="1:30" ht="15" thickBot="1">
      <c r="A61" s="196" t="s">
        <v>203</v>
      </c>
      <c r="B61" s="197"/>
      <c r="C61" s="45">
        <f>+D61/Metas!L29</f>
        <v>1.0204081632653061</v>
      </c>
      <c r="D61" s="19">
        <f>+Q61/AD61</f>
        <v>1</v>
      </c>
      <c r="E61" s="55">
        <f>SUM(E48:E60)</f>
        <v>0</v>
      </c>
      <c r="F61" s="55">
        <f aca="true" t="shared" si="7" ref="F61:P61">SUM(F48:F60)</f>
        <v>4</v>
      </c>
      <c r="G61" s="55">
        <f t="shared" si="7"/>
        <v>0</v>
      </c>
      <c r="H61" s="55">
        <f t="shared" si="7"/>
        <v>0</v>
      </c>
      <c r="I61" s="55">
        <f t="shared" si="7"/>
        <v>0</v>
      </c>
      <c r="J61" s="55">
        <f t="shared" si="7"/>
        <v>0</v>
      </c>
      <c r="K61" s="55">
        <f t="shared" si="7"/>
        <v>0</v>
      </c>
      <c r="L61" s="55">
        <f t="shared" si="7"/>
        <v>0</v>
      </c>
      <c r="M61" s="55">
        <f t="shared" si="7"/>
        <v>0</v>
      </c>
      <c r="N61" s="55">
        <f t="shared" si="7"/>
        <v>0</v>
      </c>
      <c r="O61" s="55">
        <f t="shared" si="7"/>
        <v>0</v>
      </c>
      <c r="P61" s="55">
        <f t="shared" si="7"/>
        <v>0</v>
      </c>
      <c r="Q61" s="14">
        <f>SUM(Q48:Q60)</f>
        <v>4</v>
      </c>
      <c r="R61" s="55">
        <f aca="true" t="shared" si="8" ref="R61:AC61">SUM(R48:R60)</f>
        <v>0</v>
      </c>
      <c r="S61" s="55">
        <f t="shared" si="8"/>
        <v>4</v>
      </c>
      <c r="T61" s="55">
        <f t="shared" si="8"/>
        <v>0</v>
      </c>
      <c r="U61" s="55">
        <f t="shared" si="8"/>
        <v>0</v>
      </c>
      <c r="V61" s="55">
        <f t="shared" si="8"/>
        <v>0</v>
      </c>
      <c r="W61" s="55">
        <f t="shared" si="8"/>
        <v>0</v>
      </c>
      <c r="X61" s="55">
        <f t="shared" si="8"/>
        <v>0</v>
      </c>
      <c r="Y61" s="55">
        <f t="shared" si="8"/>
        <v>0</v>
      </c>
      <c r="Z61" s="55">
        <f t="shared" si="8"/>
        <v>0</v>
      </c>
      <c r="AA61" s="55">
        <f t="shared" si="8"/>
        <v>0</v>
      </c>
      <c r="AB61" s="55">
        <f t="shared" si="8"/>
        <v>0</v>
      </c>
      <c r="AC61" s="55">
        <f t="shared" si="8"/>
        <v>0</v>
      </c>
      <c r="AD61" s="14">
        <f>SUM(AD48:AD60)</f>
        <v>4</v>
      </c>
    </row>
    <row r="62" spans="1:30" ht="15" thickBot="1">
      <c r="A62" s="110" t="s">
        <v>125</v>
      </c>
      <c r="B62" s="103" t="s">
        <v>115</v>
      </c>
      <c r="C62" s="63"/>
      <c r="D62" s="63"/>
      <c r="E62" s="84"/>
      <c r="F62" s="84">
        <v>1</v>
      </c>
      <c r="G62" s="84"/>
      <c r="H62" s="84"/>
      <c r="I62" s="84"/>
      <c r="J62" s="84"/>
      <c r="K62" s="84"/>
      <c r="L62" s="86"/>
      <c r="M62" s="86"/>
      <c r="N62" s="86"/>
      <c r="O62" s="86"/>
      <c r="P62" s="86"/>
      <c r="Q62" s="17">
        <f aca="true" t="shared" si="9" ref="Q62:Q71">SUM(E62:P62)</f>
        <v>1</v>
      </c>
      <c r="R62" s="84"/>
      <c r="S62" s="84">
        <v>1</v>
      </c>
      <c r="T62" s="84"/>
      <c r="U62" s="84"/>
      <c r="V62" s="84"/>
      <c r="W62" s="84"/>
      <c r="X62" s="84"/>
      <c r="Y62" s="86"/>
      <c r="Z62" s="86"/>
      <c r="AA62" s="86"/>
      <c r="AB62" s="86"/>
      <c r="AC62" s="86"/>
      <c r="AD62" s="17">
        <f aca="true" t="shared" si="10" ref="AD62:AD71">SUM(R62:AC62)</f>
        <v>1</v>
      </c>
    </row>
    <row r="63" spans="1:30" ht="15" thickBot="1">
      <c r="A63" s="110" t="s">
        <v>125</v>
      </c>
      <c r="B63" s="103" t="s">
        <v>116</v>
      </c>
      <c r="C63" s="63"/>
      <c r="D63" s="63"/>
      <c r="E63" s="84"/>
      <c r="F63" s="84"/>
      <c r="G63" s="84"/>
      <c r="H63" s="84"/>
      <c r="I63" s="84"/>
      <c r="J63" s="84"/>
      <c r="K63" s="84"/>
      <c r="L63" s="86"/>
      <c r="M63" s="86"/>
      <c r="N63" s="86"/>
      <c r="O63" s="86"/>
      <c r="P63" s="86"/>
      <c r="Q63" s="17">
        <f t="shared" si="9"/>
        <v>0</v>
      </c>
      <c r="R63" s="84"/>
      <c r="S63" s="84"/>
      <c r="T63" s="84"/>
      <c r="U63" s="84"/>
      <c r="V63" s="84"/>
      <c r="W63" s="84"/>
      <c r="X63" s="84"/>
      <c r="Y63" s="86"/>
      <c r="Z63" s="86"/>
      <c r="AA63" s="86"/>
      <c r="AB63" s="86"/>
      <c r="AC63" s="86"/>
      <c r="AD63" s="17">
        <f t="shared" si="10"/>
        <v>0</v>
      </c>
    </row>
    <row r="64" spans="1:30" ht="15" thickBot="1">
      <c r="A64" s="110" t="s">
        <v>125</v>
      </c>
      <c r="B64" s="103" t="s">
        <v>117</v>
      </c>
      <c r="C64" s="63"/>
      <c r="D64" s="63"/>
      <c r="E64" s="84"/>
      <c r="F64" s="84"/>
      <c r="G64" s="84"/>
      <c r="H64" s="84"/>
      <c r="I64" s="84"/>
      <c r="J64" s="84"/>
      <c r="K64" s="84"/>
      <c r="L64" s="86"/>
      <c r="M64" s="86"/>
      <c r="N64" s="86"/>
      <c r="O64" s="86"/>
      <c r="P64" s="86"/>
      <c r="Q64" s="17">
        <f t="shared" si="9"/>
        <v>0</v>
      </c>
      <c r="R64" s="84"/>
      <c r="S64" s="84"/>
      <c r="T64" s="84"/>
      <c r="U64" s="84"/>
      <c r="V64" s="84"/>
      <c r="W64" s="84"/>
      <c r="X64" s="84"/>
      <c r="Y64" s="86"/>
      <c r="Z64" s="86"/>
      <c r="AA64" s="86"/>
      <c r="AB64" s="86"/>
      <c r="AC64" s="86"/>
      <c r="AD64" s="17">
        <f t="shared" si="10"/>
        <v>0</v>
      </c>
    </row>
    <row r="65" spans="1:30" ht="15" thickBot="1">
      <c r="A65" s="110" t="s">
        <v>125</v>
      </c>
      <c r="B65" s="103" t="s">
        <v>118</v>
      </c>
      <c r="C65" s="63"/>
      <c r="D65" s="63"/>
      <c r="E65" s="84"/>
      <c r="F65" s="84"/>
      <c r="G65" s="84"/>
      <c r="H65" s="84"/>
      <c r="I65" s="84"/>
      <c r="J65" s="84"/>
      <c r="K65" s="84"/>
      <c r="L65" s="86"/>
      <c r="M65" s="86"/>
      <c r="N65" s="86"/>
      <c r="O65" s="86"/>
      <c r="P65" s="86"/>
      <c r="Q65" s="17">
        <f t="shared" si="9"/>
        <v>0</v>
      </c>
      <c r="R65" s="84"/>
      <c r="S65" s="84"/>
      <c r="T65" s="84"/>
      <c r="U65" s="84"/>
      <c r="V65" s="84"/>
      <c r="W65" s="84"/>
      <c r="X65" s="84"/>
      <c r="Y65" s="86"/>
      <c r="Z65" s="86"/>
      <c r="AA65" s="86"/>
      <c r="AB65" s="86"/>
      <c r="AC65" s="86"/>
      <c r="AD65" s="17">
        <f t="shared" si="10"/>
        <v>0</v>
      </c>
    </row>
    <row r="66" spans="1:30" ht="15" thickBot="1">
      <c r="A66" s="110" t="s">
        <v>125</v>
      </c>
      <c r="B66" s="103" t="s">
        <v>119</v>
      </c>
      <c r="C66" s="63"/>
      <c r="D66" s="63"/>
      <c r="E66" s="84"/>
      <c r="F66" s="84"/>
      <c r="G66" s="84"/>
      <c r="H66" s="84"/>
      <c r="I66" s="84"/>
      <c r="J66" s="84"/>
      <c r="K66" s="84"/>
      <c r="L66" s="86"/>
      <c r="M66" s="86"/>
      <c r="N66" s="86"/>
      <c r="O66" s="86"/>
      <c r="P66" s="86"/>
      <c r="Q66" s="17">
        <f t="shared" si="9"/>
        <v>0</v>
      </c>
      <c r="R66" s="84"/>
      <c r="S66" s="84"/>
      <c r="T66" s="84"/>
      <c r="U66" s="84"/>
      <c r="V66" s="84"/>
      <c r="W66" s="84"/>
      <c r="X66" s="84"/>
      <c r="Y66" s="86"/>
      <c r="Z66" s="86"/>
      <c r="AA66" s="86"/>
      <c r="AB66" s="86"/>
      <c r="AC66" s="86"/>
      <c r="AD66" s="17">
        <f t="shared" si="10"/>
        <v>0</v>
      </c>
    </row>
    <row r="67" spans="1:30" ht="15" thickBot="1">
      <c r="A67" s="110" t="s">
        <v>125</v>
      </c>
      <c r="B67" s="103" t="s">
        <v>120</v>
      </c>
      <c r="C67" s="63"/>
      <c r="D67" s="63"/>
      <c r="E67" s="84"/>
      <c r="F67" s="84"/>
      <c r="G67" s="84"/>
      <c r="H67" s="84"/>
      <c r="I67" s="84"/>
      <c r="J67" s="84"/>
      <c r="K67" s="84"/>
      <c r="L67" s="86"/>
      <c r="M67" s="86"/>
      <c r="N67" s="86"/>
      <c r="O67" s="86"/>
      <c r="P67" s="86"/>
      <c r="Q67" s="17">
        <f t="shared" si="9"/>
        <v>0</v>
      </c>
      <c r="R67" s="84"/>
      <c r="S67" s="84"/>
      <c r="T67" s="84"/>
      <c r="U67" s="84"/>
      <c r="V67" s="84"/>
      <c r="W67" s="84"/>
      <c r="X67" s="84"/>
      <c r="Y67" s="86"/>
      <c r="Z67" s="86"/>
      <c r="AA67" s="86"/>
      <c r="AB67" s="86"/>
      <c r="AC67" s="86"/>
      <c r="AD67" s="17">
        <f t="shared" si="10"/>
        <v>0</v>
      </c>
    </row>
    <row r="68" spans="1:30" ht="15" thickBot="1">
      <c r="A68" s="110" t="s">
        <v>125</v>
      </c>
      <c r="B68" s="103" t="s">
        <v>121</v>
      </c>
      <c r="C68" s="63"/>
      <c r="D68" s="63"/>
      <c r="E68" s="84"/>
      <c r="F68" s="84"/>
      <c r="G68" s="84"/>
      <c r="H68" s="84"/>
      <c r="I68" s="84"/>
      <c r="J68" s="84"/>
      <c r="K68" s="84"/>
      <c r="L68" s="86"/>
      <c r="M68" s="86"/>
      <c r="N68" s="86"/>
      <c r="O68" s="86"/>
      <c r="P68" s="86"/>
      <c r="Q68" s="17">
        <f t="shared" si="9"/>
        <v>0</v>
      </c>
      <c r="R68" s="84"/>
      <c r="S68" s="84"/>
      <c r="T68" s="84"/>
      <c r="U68" s="84"/>
      <c r="V68" s="84"/>
      <c r="W68" s="84"/>
      <c r="X68" s="84"/>
      <c r="Y68" s="86"/>
      <c r="Z68" s="86"/>
      <c r="AA68" s="86"/>
      <c r="AB68" s="86"/>
      <c r="AC68" s="86"/>
      <c r="AD68" s="17">
        <f t="shared" si="10"/>
        <v>0</v>
      </c>
    </row>
    <row r="69" spans="1:30" ht="15" thickBot="1">
      <c r="A69" s="110" t="s">
        <v>125</v>
      </c>
      <c r="B69" s="103" t="s">
        <v>122</v>
      </c>
      <c r="C69" s="63"/>
      <c r="D69" s="63"/>
      <c r="E69" s="84"/>
      <c r="F69" s="84"/>
      <c r="G69" s="84"/>
      <c r="H69" s="84"/>
      <c r="I69" s="84"/>
      <c r="J69" s="84"/>
      <c r="K69" s="84"/>
      <c r="L69" s="86"/>
      <c r="M69" s="86"/>
      <c r="N69" s="86"/>
      <c r="O69" s="86"/>
      <c r="P69" s="86"/>
      <c r="Q69" s="17">
        <f t="shared" si="9"/>
        <v>0</v>
      </c>
      <c r="R69" s="84"/>
      <c r="S69" s="84"/>
      <c r="T69" s="84"/>
      <c r="U69" s="84"/>
      <c r="V69" s="84"/>
      <c r="W69" s="84"/>
      <c r="X69" s="84"/>
      <c r="Y69" s="86"/>
      <c r="Z69" s="86"/>
      <c r="AA69" s="86"/>
      <c r="AB69" s="86"/>
      <c r="AC69" s="86"/>
      <c r="AD69" s="17">
        <f t="shared" si="10"/>
        <v>0</v>
      </c>
    </row>
    <row r="70" spans="1:30" ht="15" thickBot="1">
      <c r="A70" s="110" t="s">
        <v>125</v>
      </c>
      <c r="B70" s="103" t="s">
        <v>123</v>
      </c>
      <c r="C70" s="63"/>
      <c r="D70" s="63"/>
      <c r="E70" s="84"/>
      <c r="F70" s="84"/>
      <c r="G70" s="84"/>
      <c r="H70" s="84"/>
      <c r="I70" s="84"/>
      <c r="J70" s="84"/>
      <c r="K70" s="84"/>
      <c r="L70" s="86"/>
      <c r="M70" s="86"/>
      <c r="N70" s="86"/>
      <c r="O70" s="86"/>
      <c r="P70" s="86"/>
      <c r="Q70" s="17">
        <f t="shared" si="9"/>
        <v>0</v>
      </c>
      <c r="R70" s="84"/>
      <c r="S70" s="84"/>
      <c r="T70" s="84"/>
      <c r="U70" s="84"/>
      <c r="V70" s="84"/>
      <c r="W70" s="84"/>
      <c r="X70" s="84"/>
      <c r="Y70" s="86"/>
      <c r="Z70" s="86"/>
      <c r="AA70" s="86"/>
      <c r="AB70" s="86"/>
      <c r="AC70" s="86"/>
      <c r="AD70" s="17">
        <f t="shared" si="10"/>
        <v>0</v>
      </c>
    </row>
    <row r="71" spans="1:30" ht="15" thickBot="1">
      <c r="A71" s="110" t="s">
        <v>125</v>
      </c>
      <c r="B71" s="103" t="s">
        <v>124</v>
      </c>
      <c r="C71" s="63"/>
      <c r="D71" s="63"/>
      <c r="E71" s="84"/>
      <c r="F71" s="84"/>
      <c r="G71" s="84"/>
      <c r="H71" s="84"/>
      <c r="I71" s="84"/>
      <c r="J71" s="84"/>
      <c r="K71" s="84"/>
      <c r="L71" s="86"/>
      <c r="M71" s="86"/>
      <c r="N71" s="86"/>
      <c r="O71" s="86"/>
      <c r="P71" s="86"/>
      <c r="Q71" s="17">
        <f t="shared" si="9"/>
        <v>0</v>
      </c>
      <c r="R71" s="84"/>
      <c r="S71" s="84"/>
      <c r="T71" s="84"/>
      <c r="U71" s="84"/>
      <c r="V71" s="84"/>
      <c r="W71" s="84"/>
      <c r="X71" s="84"/>
      <c r="Y71" s="86"/>
      <c r="Z71" s="86"/>
      <c r="AA71" s="86"/>
      <c r="AB71" s="86"/>
      <c r="AC71" s="86"/>
      <c r="AD71" s="17">
        <f t="shared" si="10"/>
        <v>0</v>
      </c>
    </row>
    <row r="72" spans="1:30" ht="15" thickBot="1">
      <c r="A72" s="196" t="s">
        <v>23</v>
      </c>
      <c r="B72" s="197"/>
      <c r="C72" s="45">
        <f>+D72/Metas!L26</f>
        <v>1.0204081632653061</v>
      </c>
      <c r="D72" s="19">
        <f>+Q72/AD72</f>
        <v>1</v>
      </c>
      <c r="E72" s="55">
        <f>SUM(E62:E71)</f>
        <v>0</v>
      </c>
      <c r="F72" s="55">
        <f aca="true" t="shared" si="11" ref="F72:P72">SUM(F62:F71)</f>
        <v>1</v>
      </c>
      <c r="G72" s="55">
        <f t="shared" si="11"/>
        <v>0</v>
      </c>
      <c r="H72" s="55">
        <f t="shared" si="11"/>
        <v>0</v>
      </c>
      <c r="I72" s="55">
        <f t="shared" si="11"/>
        <v>0</v>
      </c>
      <c r="J72" s="55">
        <f t="shared" si="11"/>
        <v>0</v>
      </c>
      <c r="K72" s="55">
        <f t="shared" si="11"/>
        <v>0</v>
      </c>
      <c r="L72" s="55">
        <f t="shared" si="11"/>
        <v>0</v>
      </c>
      <c r="M72" s="55">
        <f t="shared" si="11"/>
        <v>0</v>
      </c>
      <c r="N72" s="55">
        <f t="shared" si="11"/>
        <v>0</v>
      </c>
      <c r="O72" s="55">
        <f t="shared" si="11"/>
        <v>0</v>
      </c>
      <c r="P72" s="55">
        <f t="shared" si="11"/>
        <v>0</v>
      </c>
      <c r="Q72" s="14">
        <f>SUM(Q62:Q71)</f>
        <v>1</v>
      </c>
      <c r="R72" s="55">
        <f aca="true" t="shared" si="12" ref="R72:AC72">SUM(R62:R71)</f>
        <v>0</v>
      </c>
      <c r="S72" s="55">
        <f t="shared" si="12"/>
        <v>1</v>
      </c>
      <c r="T72" s="55">
        <f t="shared" si="12"/>
        <v>0</v>
      </c>
      <c r="U72" s="55">
        <f t="shared" si="12"/>
        <v>0</v>
      </c>
      <c r="V72" s="55">
        <f t="shared" si="12"/>
        <v>0</v>
      </c>
      <c r="W72" s="55">
        <f t="shared" si="12"/>
        <v>0</v>
      </c>
      <c r="X72" s="55">
        <f t="shared" si="12"/>
        <v>0</v>
      </c>
      <c r="Y72" s="55">
        <f t="shared" si="12"/>
        <v>0</v>
      </c>
      <c r="Z72" s="55">
        <f t="shared" si="12"/>
        <v>0</v>
      </c>
      <c r="AA72" s="55">
        <f t="shared" si="12"/>
        <v>0</v>
      </c>
      <c r="AB72" s="55">
        <f t="shared" si="12"/>
        <v>0</v>
      </c>
      <c r="AC72" s="55">
        <f t="shared" si="12"/>
        <v>0</v>
      </c>
      <c r="AD72" s="14">
        <f>SUM(AD62:AD71)</f>
        <v>1</v>
      </c>
    </row>
    <row r="73" spans="1:30" ht="15" thickBot="1">
      <c r="A73" s="110" t="s">
        <v>131</v>
      </c>
      <c r="B73" s="103" t="s">
        <v>126</v>
      </c>
      <c r="C73" s="63"/>
      <c r="D73" s="63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17">
        <f>SUM(E73:P73)</f>
        <v>0</v>
      </c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17">
        <f>SUM(R73:AC73)</f>
        <v>0</v>
      </c>
    </row>
    <row r="74" spans="1:30" ht="15" thickBot="1">
      <c r="A74" s="110" t="s">
        <v>131</v>
      </c>
      <c r="B74" s="103" t="s">
        <v>127</v>
      </c>
      <c r="C74" s="63"/>
      <c r="D74" s="63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17">
        <f>SUM(E74:P74)</f>
        <v>0</v>
      </c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17">
        <f>SUM(R74:AC74)</f>
        <v>0</v>
      </c>
    </row>
    <row r="75" spans="1:30" ht="15" thickBot="1">
      <c r="A75" s="110" t="s">
        <v>131</v>
      </c>
      <c r="B75" s="103" t="s">
        <v>128</v>
      </c>
      <c r="C75" s="63"/>
      <c r="D75" s="63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17">
        <f>SUM(E75:P75)</f>
        <v>0</v>
      </c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17">
        <f>SUM(R75:AC75)</f>
        <v>0</v>
      </c>
    </row>
    <row r="76" spans="1:30" ht="15" thickBot="1">
      <c r="A76" s="110" t="s">
        <v>131</v>
      </c>
      <c r="B76" s="103" t="s">
        <v>129</v>
      </c>
      <c r="C76" s="63"/>
      <c r="D76" s="63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17">
        <f>SUM(E76:P76)</f>
        <v>0</v>
      </c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17">
        <f>SUM(R76:AC76)</f>
        <v>0</v>
      </c>
    </row>
    <row r="77" spans="1:30" ht="15" thickBot="1">
      <c r="A77" s="110" t="s">
        <v>131</v>
      </c>
      <c r="B77" s="103" t="s">
        <v>130</v>
      </c>
      <c r="C77" s="63"/>
      <c r="D77" s="63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17">
        <f>SUM(E77:P77)</f>
        <v>0</v>
      </c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17">
        <f>SUM(R77:AC77)</f>
        <v>0</v>
      </c>
    </row>
    <row r="78" spans="1:30" ht="15" thickBot="1">
      <c r="A78" s="196" t="s">
        <v>204</v>
      </c>
      <c r="B78" s="197"/>
      <c r="C78" s="45" t="e">
        <f>+D78/Metas!L31</f>
        <v>#DIV/0!</v>
      </c>
      <c r="D78" s="19" t="e">
        <f>+Q78/AD78</f>
        <v>#DIV/0!</v>
      </c>
      <c r="E78" s="55">
        <f aca="true" t="shared" si="13" ref="E78:AD78">SUM(E73:E77)</f>
        <v>0</v>
      </c>
      <c r="F78" s="55">
        <f t="shared" si="13"/>
        <v>0</v>
      </c>
      <c r="G78" s="55">
        <f t="shared" si="13"/>
        <v>0</v>
      </c>
      <c r="H78" s="55">
        <f t="shared" si="13"/>
        <v>0</v>
      </c>
      <c r="I78" s="55">
        <f t="shared" si="13"/>
        <v>0</v>
      </c>
      <c r="J78" s="55">
        <f t="shared" si="13"/>
        <v>0</v>
      </c>
      <c r="K78" s="55">
        <f t="shared" si="13"/>
        <v>0</v>
      </c>
      <c r="L78" s="55">
        <f t="shared" si="13"/>
        <v>0</v>
      </c>
      <c r="M78" s="55">
        <f t="shared" si="13"/>
        <v>0</v>
      </c>
      <c r="N78" s="55">
        <f t="shared" si="13"/>
        <v>0</v>
      </c>
      <c r="O78" s="55">
        <f t="shared" si="13"/>
        <v>0</v>
      </c>
      <c r="P78" s="55">
        <f t="shared" si="13"/>
        <v>0</v>
      </c>
      <c r="Q78" s="14">
        <f t="shared" si="13"/>
        <v>0</v>
      </c>
      <c r="R78" s="55">
        <f t="shared" si="13"/>
        <v>0</v>
      </c>
      <c r="S78" s="55">
        <f t="shared" si="13"/>
        <v>0</v>
      </c>
      <c r="T78" s="55">
        <f t="shared" si="13"/>
        <v>0</v>
      </c>
      <c r="U78" s="55">
        <f t="shared" si="13"/>
        <v>0</v>
      </c>
      <c r="V78" s="55">
        <f t="shared" si="13"/>
        <v>0</v>
      </c>
      <c r="W78" s="55">
        <f t="shared" si="13"/>
        <v>0</v>
      </c>
      <c r="X78" s="55">
        <f t="shared" si="13"/>
        <v>0</v>
      </c>
      <c r="Y78" s="55">
        <f t="shared" si="13"/>
        <v>0</v>
      </c>
      <c r="Z78" s="55">
        <f t="shared" si="13"/>
        <v>0</v>
      </c>
      <c r="AA78" s="55">
        <f t="shared" si="13"/>
        <v>0</v>
      </c>
      <c r="AB78" s="55">
        <f t="shared" si="13"/>
        <v>0</v>
      </c>
      <c r="AC78" s="55">
        <f t="shared" si="13"/>
        <v>0</v>
      </c>
      <c r="AD78" s="14">
        <f t="shared" si="13"/>
        <v>0</v>
      </c>
    </row>
    <row r="79" spans="1:30" ht="15" thickBot="1">
      <c r="A79" s="110" t="s">
        <v>142</v>
      </c>
      <c r="B79" s="103" t="s">
        <v>132</v>
      </c>
      <c r="C79" s="63"/>
      <c r="D79" s="63"/>
      <c r="E79" s="84"/>
      <c r="F79" s="84">
        <v>1</v>
      </c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17">
        <f aca="true" t="shared" si="14" ref="Q79:Q88">SUM(E79:P79)</f>
        <v>1</v>
      </c>
      <c r="R79" s="84"/>
      <c r="S79" s="84">
        <v>1</v>
      </c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17">
        <f aca="true" t="shared" si="15" ref="AD79:AD88">SUM(R79:AC79)</f>
        <v>1</v>
      </c>
    </row>
    <row r="80" spans="1:30" ht="15" thickBot="1">
      <c r="A80" s="110" t="s">
        <v>142</v>
      </c>
      <c r="B80" s="103" t="s">
        <v>133</v>
      </c>
      <c r="C80" s="63"/>
      <c r="D80" s="63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17">
        <f t="shared" si="14"/>
        <v>0</v>
      </c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17">
        <f t="shared" si="15"/>
        <v>0</v>
      </c>
    </row>
    <row r="81" spans="1:30" ht="15" thickBot="1">
      <c r="A81" s="110" t="s">
        <v>142</v>
      </c>
      <c r="B81" s="103" t="s">
        <v>134</v>
      </c>
      <c r="C81" s="63"/>
      <c r="D81" s="63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17">
        <f t="shared" si="14"/>
        <v>0</v>
      </c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17">
        <f t="shared" si="15"/>
        <v>0</v>
      </c>
    </row>
    <row r="82" spans="1:30" ht="15" thickBot="1">
      <c r="A82" s="110" t="s">
        <v>142</v>
      </c>
      <c r="B82" s="103" t="s">
        <v>135</v>
      </c>
      <c r="C82" s="63"/>
      <c r="D82" s="63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17">
        <f t="shared" si="14"/>
        <v>0</v>
      </c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17">
        <f t="shared" si="15"/>
        <v>0</v>
      </c>
    </row>
    <row r="83" spans="1:30" ht="15" thickBot="1">
      <c r="A83" s="110" t="s">
        <v>142</v>
      </c>
      <c r="B83" s="103" t="s">
        <v>136</v>
      </c>
      <c r="C83" s="63"/>
      <c r="D83" s="63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17">
        <f t="shared" si="14"/>
        <v>0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17">
        <f t="shared" si="15"/>
        <v>0</v>
      </c>
    </row>
    <row r="84" spans="1:30" ht="15" thickBot="1">
      <c r="A84" s="110" t="s">
        <v>142</v>
      </c>
      <c r="B84" s="103" t="s">
        <v>137</v>
      </c>
      <c r="C84" s="63"/>
      <c r="D84" s="63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17">
        <f t="shared" si="14"/>
        <v>0</v>
      </c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17">
        <f t="shared" si="15"/>
        <v>0</v>
      </c>
    </row>
    <row r="85" spans="1:30" ht="15" thickBot="1">
      <c r="A85" s="110" t="s">
        <v>142</v>
      </c>
      <c r="B85" s="103" t="s">
        <v>138</v>
      </c>
      <c r="C85" s="63"/>
      <c r="D85" s="63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17">
        <f t="shared" si="14"/>
        <v>0</v>
      </c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17">
        <f t="shared" si="15"/>
        <v>0</v>
      </c>
    </row>
    <row r="86" spans="1:30" ht="15" thickBot="1">
      <c r="A86" s="110" t="s">
        <v>142</v>
      </c>
      <c r="B86" s="103" t="s">
        <v>139</v>
      </c>
      <c r="C86" s="63"/>
      <c r="D86" s="63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17">
        <f t="shared" si="14"/>
        <v>0</v>
      </c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17">
        <f t="shared" si="15"/>
        <v>0</v>
      </c>
    </row>
    <row r="87" spans="1:30" ht="15" thickBot="1">
      <c r="A87" s="110" t="s">
        <v>142</v>
      </c>
      <c r="B87" s="103" t="s">
        <v>140</v>
      </c>
      <c r="C87" s="63"/>
      <c r="D87" s="63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17">
        <f t="shared" si="14"/>
        <v>0</v>
      </c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17">
        <f t="shared" si="15"/>
        <v>0</v>
      </c>
    </row>
    <row r="88" spans="1:30" ht="15" thickBot="1">
      <c r="A88" s="110" t="s">
        <v>142</v>
      </c>
      <c r="B88" s="103" t="s">
        <v>141</v>
      </c>
      <c r="C88" s="63"/>
      <c r="D88" s="63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17">
        <f t="shared" si="14"/>
        <v>0</v>
      </c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17">
        <f t="shared" si="15"/>
        <v>0</v>
      </c>
    </row>
    <row r="89" spans="1:30" ht="15" thickBot="1">
      <c r="A89" s="196" t="s">
        <v>205</v>
      </c>
      <c r="B89" s="197"/>
      <c r="C89" s="45">
        <f>+D89/Metas!L36</f>
        <v>1.0204081632653061</v>
      </c>
      <c r="D89" s="19">
        <f>+Q89/AD89</f>
        <v>1</v>
      </c>
      <c r="E89" s="55">
        <f>SUM(E79:E88)</f>
        <v>0</v>
      </c>
      <c r="F89" s="55">
        <f aca="true" t="shared" si="16" ref="F89:P89">SUM(F79:F88)</f>
        <v>1</v>
      </c>
      <c r="G89" s="55">
        <f t="shared" si="16"/>
        <v>0</v>
      </c>
      <c r="H89" s="55">
        <f t="shared" si="16"/>
        <v>0</v>
      </c>
      <c r="I89" s="55">
        <f t="shared" si="16"/>
        <v>0</v>
      </c>
      <c r="J89" s="55">
        <f t="shared" si="16"/>
        <v>0</v>
      </c>
      <c r="K89" s="55">
        <f t="shared" si="16"/>
        <v>0</v>
      </c>
      <c r="L89" s="55">
        <f t="shared" si="16"/>
        <v>0</v>
      </c>
      <c r="M89" s="55">
        <f t="shared" si="16"/>
        <v>0</v>
      </c>
      <c r="N89" s="55">
        <f t="shared" si="16"/>
        <v>0</v>
      </c>
      <c r="O89" s="55">
        <f t="shared" si="16"/>
        <v>0</v>
      </c>
      <c r="P89" s="55">
        <f t="shared" si="16"/>
        <v>0</v>
      </c>
      <c r="Q89" s="14">
        <f>SUM(Q79:Q88)</f>
        <v>1</v>
      </c>
      <c r="R89" s="55">
        <f aca="true" t="shared" si="17" ref="R89:AC89">SUM(R79:R88)</f>
        <v>0</v>
      </c>
      <c r="S89" s="55">
        <f t="shared" si="17"/>
        <v>1</v>
      </c>
      <c r="T89" s="55">
        <f t="shared" si="17"/>
        <v>0</v>
      </c>
      <c r="U89" s="55">
        <f t="shared" si="17"/>
        <v>0</v>
      </c>
      <c r="V89" s="55">
        <f t="shared" si="17"/>
        <v>0</v>
      </c>
      <c r="W89" s="55">
        <f t="shared" si="17"/>
        <v>0</v>
      </c>
      <c r="X89" s="55">
        <f t="shared" si="17"/>
        <v>0</v>
      </c>
      <c r="Y89" s="55">
        <f t="shared" si="17"/>
        <v>0</v>
      </c>
      <c r="Z89" s="55">
        <f t="shared" si="17"/>
        <v>0</v>
      </c>
      <c r="AA89" s="55">
        <f t="shared" si="17"/>
        <v>0</v>
      </c>
      <c r="AB89" s="55">
        <f t="shared" si="17"/>
        <v>0</v>
      </c>
      <c r="AC89" s="55">
        <f t="shared" si="17"/>
        <v>0</v>
      </c>
      <c r="AD89" s="14">
        <f>SUM(AD79:AD88)</f>
        <v>1</v>
      </c>
    </row>
    <row r="90" spans="1:30" ht="15" thickBot="1">
      <c r="A90" s="110" t="s">
        <v>159</v>
      </c>
      <c r="B90" s="103" t="s">
        <v>143</v>
      </c>
      <c r="C90" s="63"/>
      <c r="D90" s="63"/>
      <c r="E90" s="84">
        <v>3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17">
        <f aca="true" t="shared" si="18" ref="Q90:Q105">SUM(E90:P90)</f>
        <v>3</v>
      </c>
      <c r="R90" s="122">
        <v>3</v>
      </c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84"/>
      <c r="AD90" s="17">
        <f aca="true" t="shared" si="19" ref="AD90:AD105">SUM(R90:AC90)</f>
        <v>3</v>
      </c>
    </row>
    <row r="91" spans="1:30" ht="15" thickBot="1">
      <c r="A91" s="110" t="s">
        <v>159</v>
      </c>
      <c r="B91" s="103" t="s">
        <v>144</v>
      </c>
      <c r="C91" s="63"/>
      <c r="D91" s="63"/>
      <c r="E91" s="84">
        <v>3</v>
      </c>
      <c r="F91" s="84">
        <v>4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17">
        <f t="shared" si="18"/>
        <v>7</v>
      </c>
      <c r="R91" s="122">
        <v>3</v>
      </c>
      <c r="S91" s="122">
        <v>4</v>
      </c>
      <c r="T91" s="122"/>
      <c r="U91" s="122"/>
      <c r="V91" s="122"/>
      <c r="W91" s="122"/>
      <c r="X91" s="122"/>
      <c r="Y91" s="122"/>
      <c r="Z91" s="122"/>
      <c r="AA91" s="122"/>
      <c r="AB91" s="122"/>
      <c r="AC91" s="84"/>
      <c r="AD91" s="17">
        <f t="shared" si="19"/>
        <v>7</v>
      </c>
    </row>
    <row r="92" spans="1:30" ht="15" thickBot="1">
      <c r="A92" s="110" t="s">
        <v>159</v>
      </c>
      <c r="B92" s="103" t="s">
        <v>145</v>
      </c>
      <c r="C92" s="63"/>
      <c r="D92" s="63"/>
      <c r="E92" s="84">
        <v>9</v>
      </c>
      <c r="F92" s="84">
        <v>8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17">
        <f t="shared" si="18"/>
        <v>17</v>
      </c>
      <c r="R92" s="122">
        <v>9</v>
      </c>
      <c r="S92" s="122">
        <v>8</v>
      </c>
      <c r="T92" s="122"/>
      <c r="U92" s="122"/>
      <c r="V92" s="122"/>
      <c r="W92" s="122"/>
      <c r="X92" s="122"/>
      <c r="Y92" s="122"/>
      <c r="Z92" s="122"/>
      <c r="AA92" s="122"/>
      <c r="AB92" s="122"/>
      <c r="AC92" s="84"/>
      <c r="AD92" s="17">
        <f t="shared" si="19"/>
        <v>17</v>
      </c>
    </row>
    <row r="93" spans="1:30" ht="15" thickBot="1">
      <c r="A93" s="110" t="s">
        <v>159</v>
      </c>
      <c r="B93" s="103" t="s">
        <v>146</v>
      </c>
      <c r="C93" s="63"/>
      <c r="D93" s="63"/>
      <c r="E93" s="84">
        <v>2</v>
      </c>
      <c r="F93" s="84">
        <v>1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17">
        <f t="shared" si="18"/>
        <v>3</v>
      </c>
      <c r="R93" s="122">
        <v>2</v>
      </c>
      <c r="S93" s="122">
        <v>1</v>
      </c>
      <c r="T93" s="122"/>
      <c r="U93" s="122"/>
      <c r="V93" s="122"/>
      <c r="W93" s="122"/>
      <c r="X93" s="122"/>
      <c r="Y93" s="122"/>
      <c r="Z93" s="122"/>
      <c r="AA93" s="122"/>
      <c r="AB93" s="122"/>
      <c r="AC93" s="84"/>
      <c r="AD93" s="17">
        <f t="shared" si="19"/>
        <v>3</v>
      </c>
    </row>
    <row r="94" spans="1:30" ht="15" thickBot="1">
      <c r="A94" s="110" t="s">
        <v>159</v>
      </c>
      <c r="B94" s="103" t="s">
        <v>147</v>
      </c>
      <c r="C94" s="63"/>
      <c r="D94" s="63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17">
        <f t="shared" si="18"/>
        <v>0</v>
      </c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17">
        <f t="shared" si="19"/>
        <v>0</v>
      </c>
    </row>
    <row r="95" spans="1:30" ht="15" thickBot="1">
      <c r="A95" s="110" t="s">
        <v>159</v>
      </c>
      <c r="B95" s="103" t="s">
        <v>148</v>
      </c>
      <c r="C95" s="63"/>
      <c r="D95" s="63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17">
        <f t="shared" si="18"/>
        <v>0</v>
      </c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17">
        <f t="shared" si="19"/>
        <v>0</v>
      </c>
    </row>
    <row r="96" spans="1:30" ht="15" thickBot="1">
      <c r="A96" s="110" t="s">
        <v>159</v>
      </c>
      <c r="B96" s="103" t="s">
        <v>149</v>
      </c>
      <c r="C96" s="63"/>
      <c r="D96" s="63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17">
        <f t="shared" si="18"/>
        <v>0</v>
      </c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17">
        <f t="shared" si="19"/>
        <v>0</v>
      </c>
    </row>
    <row r="97" spans="1:30" ht="15" thickBot="1">
      <c r="A97" s="110" t="s">
        <v>159</v>
      </c>
      <c r="B97" s="103" t="s">
        <v>150</v>
      </c>
      <c r="C97" s="63"/>
      <c r="D97" s="63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17">
        <f t="shared" si="18"/>
        <v>0</v>
      </c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17">
        <f t="shared" si="19"/>
        <v>0</v>
      </c>
    </row>
    <row r="98" spans="1:30" ht="15" thickBot="1">
      <c r="A98" s="110" t="s">
        <v>159</v>
      </c>
      <c r="B98" s="103" t="s">
        <v>151</v>
      </c>
      <c r="C98" s="63"/>
      <c r="D98" s="63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17">
        <f t="shared" si="18"/>
        <v>0</v>
      </c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17">
        <f t="shared" si="19"/>
        <v>0</v>
      </c>
    </row>
    <row r="99" spans="1:30" ht="15" thickBot="1">
      <c r="A99" s="110" t="s">
        <v>159</v>
      </c>
      <c r="B99" s="103" t="s">
        <v>152</v>
      </c>
      <c r="C99" s="63"/>
      <c r="D99" s="63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17">
        <f t="shared" si="18"/>
        <v>0</v>
      </c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17">
        <f t="shared" si="19"/>
        <v>0</v>
      </c>
    </row>
    <row r="100" spans="1:30" ht="15" thickBot="1">
      <c r="A100" s="110" t="s">
        <v>159</v>
      </c>
      <c r="B100" s="103" t="s">
        <v>153</v>
      </c>
      <c r="C100" s="63"/>
      <c r="D100" s="63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17">
        <f t="shared" si="18"/>
        <v>0</v>
      </c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17">
        <f t="shared" si="19"/>
        <v>0</v>
      </c>
    </row>
    <row r="101" spans="1:30" ht="15" thickBot="1">
      <c r="A101" s="110" t="s">
        <v>159</v>
      </c>
      <c r="B101" s="103" t="s">
        <v>154</v>
      </c>
      <c r="C101" s="63"/>
      <c r="D101" s="63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17">
        <f t="shared" si="18"/>
        <v>0</v>
      </c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17">
        <f t="shared" si="19"/>
        <v>0</v>
      </c>
    </row>
    <row r="102" spans="1:30" ht="15" thickBot="1">
      <c r="A102" s="110" t="s">
        <v>159</v>
      </c>
      <c r="B102" s="103" t="s">
        <v>155</v>
      </c>
      <c r="C102" s="63"/>
      <c r="D102" s="63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17">
        <f t="shared" si="18"/>
        <v>0</v>
      </c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17">
        <f t="shared" si="19"/>
        <v>0</v>
      </c>
    </row>
    <row r="103" spans="1:30" ht="15" thickBot="1">
      <c r="A103" s="110" t="s">
        <v>159</v>
      </c>
      <c r="B103" s="103" t="s">
        <v>156</v>
      </c>
      <c r="C103" s="63"/>
      <c r="D103" s="63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17">
        <f t="shared" si="18"/>
        <v>0</v>
      </c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17">
        <f t="shared" si="19"/>
        <v>0</v>
      </c>
    </row>
    <row r="104" spans="1:30" ht="15" thickBot="1">
      <c r="A104" s="110" t="s">
        <v>159</v>
      </c>
      <c r="B104" s="103" t="s">
        <v>157</v>
      </c>
      <c r="C104" s="63"/>
      <c r="D104" s="63"/>
      <c r="E104" s="84"/>
      <c r="F104" s="84">
        <v>2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17">
        <f t="shared" si="18"/>
        <v>2</v>
      </c>
      <c r="R104" s="84"/>
      <c r="S104" s="84">
        <v>2</v>
      </c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17">
        <f t="shared" si="19"/>
        <v>2</v>
      </c>
    </row>
    <row r="105" spans="1:30" ht="15" thickBot="1">
      <c r="A105" s="110" t="s">
        <v>159</v>
      </c>
      <c r="B105" s="103" t="s">
        <v>158</v>
      </c>
      <c r="C105" s="63"/>
      <c r="D105" s="63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17">
        <f t="shared" si="18"/>
        <v>0</v>
      </c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17">
        <f t="shared" si="19"/>
        <v>0</v>
      </c>
    </row>
    <row r="106" spans="1:30" ht="22.5" customHeight="1" thickBot="1">
      <c r="A106" s="196" t="s">
        <v>206</v>
      </c>
      <c r="B106" s="197"/>
      <c r="C106" s="45">
        <f>+D106/Metas!L33</f>
        <v>1.0204081632653061</v>
      </c>
      <c r="D106" s="19">
        <f>+Q106/AD106</f>
        <v>1</v>
      </c>
      <c r="E106" s="55">
        <f>SUM(E90:E105)</f>
        <v>17</v>
      </c>
      <c r="F106" s="55">
        <f aca="true" t="shared" si="20" ref="F106:P106">SUM(F90:F105)</f>
        <v>15</v>
      </c>
      <c r="G106" s="55">
        <f t="shared" si="20"/>
        <v>0</v>
      </c>
      <c r="H106" s="55">
        <f t="shared" si="20"/>
        <v>0</v>
      </c>
      <c r="I106" s="55">
        <f t="shared" si="20"/>
        <v>0</v>
      </c>
      <c r="J106" s="55">
        <f t="shared" si="20"/>
        <v>0</v>
      </c>
      <c r="K106" s="55">
        <f t="shared" si="20"/>
        <v>0</v>
      </c>
      <c r="L106" s="55">
        <f t="shared" si="20"/>
        <v>0</v>
      </c>
      <c r="M106" s="55">
        <f t="shared" si="20"/>
        <v>0</v>
      </c>
      <c r="N106" s="55">
        <f t="shared" si="20"/>
        <v>0</v>
      </c>
      <c r="O106" s="55">
        <f t="shared" si="20"/>
        <v>0</v>
      </c>
      <c r="P106" s="55">
        <f t="shared" si="20"/>
        <v>0</v>
      </c>
      <c r="Q106" s="14">
        <f>SUM(Q90:Q105)</f>
        <v>32</v>
      </c>
      <c r="R106" s="55">
        <f aca="true" t="shared" si="21" ref="R106:AC106">SUM(R90:R105)</f>
        <v>17</v>
      </c>
      <c r="S106" s="55">
        <f t="shared" si="21"/>
        <v>15</v>
      </c>
      <c r="T106" s="55">
        <f t="shared" si="21"/>
        <v>0</v>
      </c>
      <c r="U106" s="55">
        <f t="shared" si="21"/>
        <v>0</v>
      </c>
      <c r="V106" s="55">
        <f t="shared" si="21"/>
        <v>0</v>
      </c>
      <c r="W106" s="55">
        <f t="shared" si="21"/>
        <v>0</v>
      </c>
      <c r="X106" s="55">
        <f t="shared" si="21"/>
        <v>0</v>
      </c>
      <c r="Y106" s="55">
        <f t="shared" si="21"/>
        <v>0</v>
      </c>
      <c r="Z106" s="55">
        <f t="shared" si="21"/>
        <v>0</v>
      </c>
      <c r="AA106" s="55">
        <f t="shared" si="21"/>
        <v>0</v>
      </c>
      <c r="AB106" s="55">
        <f t="shared" si="21"/>
        <v>0</v>
      </c>
      <c r="AC106" s="55">
        <f t="shared" si="21"/>
        <v>0</v>
      </c>
      <c r="AD106" s="14">
        <f>SUM(AD90:AD105)</f>
        <v>32</v>
      </c>
    </row>
    <row r="107" spans="1:30" ht="15" thickBot="1">
      <c r="A107" s="110" t="s">
        <v>172</v>
      </c>
      <c r="B107" s="103" t="s">
        <v>160</v>
      </c>
      <c r="C107" s="63"/>
      <c r="D107" s="63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17">
        <f aca="true" t="shared" si="22" ref="Q107:Q118">SUM(E107:P107)</f>
        <v>0</v>
      </c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17">
        <f aca="true" t="shared" si="23" ref="AD107:AD118">SUM(R107:AC107)</f>
        <v>0</v>
      </c>
    </row>
    <row r="108" spans="1:30" ht="15" thickBot="1">
      <c r="A108" s="110" t="s">
        <v>172</v>
      </c>
      <c r="B108" s="103" t="s">
        <v>161</v>
      </c>
      <c r="C108" s="63"/>
      <c r="D108" s="63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17">
        <f t="shared" si="22"/>
        <v>0</v>
      </c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17">
        <f t="shared" si="23"/>
        <v>0</v>
      </c>
    </row>
    <row r="109" spans="1:30" ht="15" thickBot="1">
      <c r="A109" s="110" t="s">
        <v>172</v>
      </c>
      <c r="B109" s="103" t="s">
        <v>162</v>
      </c>
      <c r="C109" s="63"/>
      <c r="D109" s="63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17">
        <f t="shared" si="22"/>
        <v>0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17">
        <f t="shared" si="23"/>
        <v>0</v>
      </c>
    </row>
    <row r="110" spans="1:30" ht="15" thickBot="1">
      <c r="A110" s="110" t="s">
        <v>172</v>
      </c>
      <c r="B110" s="103" t="s">
        <v>163</v>
      </c>
      <c r="C110" s="63"/>
      <c r="D110" s="63"/>
      <c r="E110" s="84"/>
      <c r="F110" s="84">
        <v>2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17">
        <f t="shared" si="22"/>
        <v>2</v>
      </c>
      <c r="R110" s="84"/>
      <c r="S110" s="84">
        <v>2</v>
      </c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17">
        <f t="shared" si="23"/>
        <v>2</v>
      </c>
    </row>
    <row r="111" spans="1:30" ht="15" thickBot="1">
      <c r="A111" s="110" t="s">
        <v>172</v>
      </c>
      <c r="B111" s="103" t="s">
        <v>164</v>
      </c>
      <c r="C111" s="63"/>
      <c r="D111" s="63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17">
        <f t="shared" si="22"/>
        <v>0</v>
      </c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17">
        <f t="shared" si="23"/>
        <v>0</v>
      </c>
    </row>
    <row r="112" spans="1:30" ht="15" thickBot="1">
      <c r="A112" s="110" t="s">
        <v>172</v>
      </c>
      <c r="B112" s="103" t="s">
        <v>165</v>
      </c>
      <c r="C112" s="63"/>
      <c r="D112" s="63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17">
        <f t="shared" si="22"/>
        <v>0</v>
      </c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17">
        <f t="shared" si="23"/>
        <v>0</v>
      </c>
    </row>
    <row r="113" spans="1:30" ht="15" thickBot="1">
      <c r="A113" s="110" t="s">
        <v>172</v>
      </c>
      <c r="B113" s="103" t="s">
        <v>166</v>
      </c>
      <c r="C113" s="63"/>
      <c r="D113" s="63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17">
        <f t="shared" si="22"/>
        <v>0</v>
      </c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17">
        <f t="shared" si="23"/>
        <v>0</v>
      </c>
    </row>
    <row r="114" spans="1:30" ht="15" thickBot="1">
      <c r="A114" s="110" t="s">
        <v>172</v>
      </c>
      <c r="B114" s="103" t="s">
        <v>167</v>
      </c>
      <c r="C114" s="63"/>
      <c r="D114" s="63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17">
        <f t="shared" si="22"/>
        <v>0</v>
      </c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17">
        <f t="shared" si="23"/>
        <v>0</v>
      </c>
    </row>
    <row r="115" spans="1:30" ht="15" thickBot="1">
      <c r="A115" s="110" t="s">
        <v>172</v>
      </c>
      <c r="B115" s="103" t="s">
        <v>168</v>
      </c>
      <c r="C115" s="63"/>
      <c r="D115" s="63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17">
        <f t="shared" si="22"/>
        <v>0</v>
      </c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17">
        <f t="shared" si="23"/>
        <v>0</v>
      </c>
    </row>
    <row r="116" spans="1:30" ht="15" thickBot="1">
      <c r="A116" s="110" t="s">
        <v>172</v>
      </c>
      <c r="B116" s="103" t="s">
        <v>169</v>
      </c>
      <c r="C116" s="63"/>
      <c r="D116" s="63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17">
        <f t="shared" si="22"/>
        <v>0</v>
      </c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17">
        <f t="shared" si="23"/>
        <v>0</v>
      </c>
    </row>
    <row r="117" spans="1:30" ht="15" thickBot="1">
      <c r="A117" s="110" t="s">
        <v>172</v>
      </c>
      <c r="B117" s="103" t="s">
        <v>170</v>
      </c>
      <c r="C117" s="63"/>
      <c r="D117" s="63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17">
        <f t="shared" si="22"/>
        <v>0</v>
      </c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17">
        <f t="shared" si="23"/>
        <v>0</v>
      </c>
    </row>
    <row r="118" spans="1:30" ht="15" thickBot="1">
      <c r="A118" s="110" t="s">
        <v>172</v>
      </c>
      <c r="B118" s="103" t="s">
        <v>171</v>
      </c>
      <c r="C118" s="63"/>
      <c r="D118" s="63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17">
        <f t="shared" si="22"/>
        <v>0</v>
      </c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17">
        <f t="shared" si="23"/>
        <v>0</v>
      </c>
    </row>
    <row r="119" spans="1:30" ht="15" thickBot="1">
      <c r="A119" s="196" t="s">
        <v>207</v>
      </c>
      <c r="B119" s="197"/>
      <c r="C119" s="45">
        <f>+D119/Metas!L27</f>
        <v>1.0204081632653061</v>
      </c>
      <c r="D119" s="19">
        <f>+Q119/AD119</f>
        <v>1</v>
      </c>
      <c r="E119" s="55">
        <f>SUM(E107:E118)</f>
        <v>0</v>
      </c>
      <c r="F119" s="55">
        <f aca="true" t="shared" si="24" ref="F119:P119">SUM(F107:F118)</f>
        <v>2</v>
      </c>
      <c r="G119" s="55">
        <f t="shared" si="24"/>
        <v>0</v>
      </c>
      <c r="H119" s="55">
        <f t="shared" si="24"/>
        <v>0</v>
      </c>
      <c r="I119" s="55">
        <f t="shared" si="24"/>
        <v>0</v>
      </c>
      <c r="J119" s="55">
        <f t="shared" si="24"/>
        <v>0</v>
      </c>
      <c r="K119" s="55">
        <f t="shared" si="24"/>
        <v>0</v>
      </c>
      <c r="L119" s="55">
        <f t="shared" si="24"/>
        <v>0</v>
      </c>
      <c r="M119" s="55">
        <f t="shared" si="24"/>
        <v>0</v>
      </c>
      <c r="N119" s="55">
        <f t="shared" si="24"/>
        <v>0</v>
      </c>
      <c r="O119" s="55">
        <f t="shared" si="24"/>
        <v>0</v>
      </c>
      <c r="P119" s="55">
        <f t="shared" si="24"/>
        <v>0</v>
      </c>
      <c r="Q119" s="14">
        <f>SUM(Q107:Q118)</f>
        <v>2</v>
      </c>
      <c r="R119" s="55">
        <f aca="true" t="shared" si="25" ref="R119:AC119">SUM(R107:R118)</f>
        <v>0</v>
      </c>
      <c r="S119" s="55">
        <f t="shared" si="25"/>
        <v>2</v>
      </c>
      <c r="T119" s="55">
        <f t="shared" si="25"/>
        <v>0</v>
      </c>
      <c r="U119" s="55">
        <f t="shared" si="25"/>
        <v>0</v>
      </c>
      <c r="V119" s="55">
        <f t="shared" si="25"/>
        <v>0</v>
      </c>
      <c r="W119" s="55">
        <f t="shared" si="25"/>
        <v>0</v>
      </c>
      <c r="X119" s="55">
        <f t="shared" si="25"/>
        <v>0</v>
      </c>
      <c r="Y119" s="55">
        <f t="shared" si="25"/>
        <v>0</v>
      </c>
      <c r="Z119" s="55">
        <f t="shared" si="25"/>
        <v>0</v>
      </c>
      <c r="AA119" s="55">
        <f t="shared" si="25"/>
        <v>0</v>
      </c>
      <c r="AB119" s="55">
        <f t="shared" si="25"/>
        <v>0</v>
      </c>
      <c r="AC119" s="55">
        <f t="shared" si="25"/>
        <v>0</v>
      </c>
      <c r="AD119" s="14">
        <f>SUM(AD107:AD118)</f>
        <v>2</v>
      </c>
    </row>
    <row r="120" spans="1:30" ht="15" thickBot="1">
      <c r="A120" s="110" t="s">
        <v>186</v>
      </c>
      <c r="B120" s="103" t="s">
        <v>173</v>
      </c>
      <c r="C120" s="63"/>
      <c r="D120" s="63"/>
      <c r="E120" s="84">
        <v>2</v>
      </c>
      <c r="F120" s="84">
        <v>2</v>
      </c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17">
        <f aca="true" t="shared" si="26" ref="Q120:Q132">SUM(E120:P120)</f>
        <v>4</v>
      </c>
      <c r="R120" s="84">
        <v>2</v>
      </c>
      <c r="S120" s="84">
        <v>2</v>
      </c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17">
        <f aca="true" t="shared" si="27" ref="AD120:AD132">SUM(R120:AC120)</f>
        <v>4</v>
      </c>
    </row>
    <row r="121" spans="1:30" ht="15" thickBot="1">
      <c r="A121" s="110" t="s">
        <v>186</v>
      </c>
      <c r="B121" s="103" t="s">
        <v>174</v>
      </c>
      <c r="C121" s="63"/>
      <c r="D121" s="63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17">
        <f t="shared" si="26"/>
        <v>0</v>
      </c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17">
        <f t="shared" si="27"/>
        <v>0</v>
      </c>
    </row>
    <row r="122" spans="1:30" ht="15" thickBot="1">
      <c r="A122" s="110" t="s">
        <v>186</v>
      </c>
      <c r="B122" s="103" t="s">
        <v>175</v>
      </c>
      <c r="C122" s="63"/>
      <c r="D122" s="63"/>
      <c r="E122" s="84">
        <v>0</v>
      </c>
      <c r="F122" s="84">
        <v>0</v>
      </c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17">
        <f t="shared" si="26"/>
        <v>0</v>
      </c>
      <c r="R122" s="84">
        <v>0</v>
      </c>
      <c r="S122" s="84">
        <v>0</v>
      </c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17">
        <f t="shared" si="27"/>
        <v>0</v>
      </c>
    </row>
    <row r="123" spans="1:30" ht="15" thickBot="1">
      <c r="A123" s="110" t="s">
        <v>186</v>
      </c>
      <c r="B123" s="103" t="s">
        <v>176</v>
      </c>
      <c r="C123" s="63"/>
      <c r="D123" s="63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17">
        <f t="shared" si="26"/>
        <v>0</v>
      </c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17">
        <f t="shared" si="27"/>
        <v>0</v>
      </c>
    </row>
    <row r="124" spans="1:30" ht="15" thickBot="1">
      <c r="A124" s="110" t="s">
        <v>186</v>
      </c>
      <c r="B124" s="103" t="s">
        <v>177</v>
      </c>
      <c r="C124" s="63"/>
      <c r="D124" s="63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17">
        <f t="shared" si="26"/>
        <v>0</v>
      </c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17">
        <f t="shared" si="27"/>
        <v>0</v>
      </c>
    </row>
    <row r="125" spans="1:30" ht="15" thickBot="1">
      <c r="A125" s="110" t="s">
        <v>186</v>
      </c>
      <c r="B125" s="103" t="s">
        <v>178</v>
      </c>
      <c r="C125" s="63"/>
      <c r="D125" s="63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17">
        <f t="shared" si="26"/>
        <v>0</v>
      </c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17">
        <f t="shared" si="27"/>
        <v>0</v>
      </c>
    </row>
    <row r="126" spans="1:30" ht="15" thickBot="1">
      <c r="A126" s="110" t="s">
        <v>186</v>
      </c>
      <c r="B126" s="103" t="s">
        <v>179</v>
      </c>
      <c r="C126" s="63"/>
      <c r="D126" s="63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17">
        <f t="shared" si="26"/>
        <v>0</v>
      </c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17">
        <f t="shared" si="27"/>
        <v>0</v>
      </c>
    </row>
    <row r="127" spans="1:30" ht="15" thickBot="1">
      <c r="A127" s="110" t="s">
        <v>186</v>
      </c>
      <c r="B127" s="103" t="s">
        <v>180</v>
      </c>
      <c r="C127" s="63"/>
      <c r="D127" s="63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17">
        <f t="shared" si="26"/>
        <v>0</v>
      </c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17">
        <f t="shared" si="27"/>
        <v>0</v>
      </c>
    </row>
    <row r="128" spans="1:30" ht="15" thickBot="1">
      <c r="A128" s="110" t="s">
        <v>186</v>
      </c>
      <c r="B128" s="103" t="s">
        <v>181</v>
      </c>
      <c r="C128" s="63"/>
      <c r="D128" s="63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17">
        <f t="shared" si="26"/>
        <v>0</v>
      </c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17">
        <f t="shared" si="27"/>
        <v>0</v>
      </c>
    </row>
    <row r="129" spans="1:30" ht="15" thickBot="1">
      <c r="A129" s="110" t="s">
        <v>186</v>
      </c>
      <c r="B129" s="103" t="s">
        <v>182</v>
      </c>
      <c r="C129" s="63"/>
      <c r="D129" s="63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17">
        <f t="shared" si="26"/>
        <v>0</v>
      </c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17">
        <f t="shared" si="27"/>
        <v>0</v>
      </c>
    </row>
    <row r="130" spans="1:30" ht="15" thickBot="1">
      <c r="A130" s="110" t="s">
        <v>186</v>
      </c>
      <c r="B130" s="103" t="s">
        <v>183</v>
      </c>
      <c r="C130" s="63"/>
      <c r="D130" s="63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17">
        <f t="shared" si="26"/>
        <v>0</v>
      </c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17">
        <f t="shared" si="27"/>
        <v>0</v>
      </c>
    </row>
    <row r="131" spans="1:30" ht="15" thickBot="1">
      <c r="A131" s="110" t="s">
        <v>186</v>
      </c>
      <c r="B131" s="103" t="s">
        <v>184</v>
      </c>
      <c r="C131" s="63"/>
      <c r="D131" s="63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17">
        <f t="shared" si="26"/>
        <v>0</v>
      </c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17">
        <f t="shared" si="27"/>
        <v>0</v>
      </c>
    </row>
    <row r="132" spans="1:30" ht="15" thickBot="1">
      <c r="A132" s="110" t="s">
        <v>186</v>
      </c>
      <c r="B132" s="103" t="s">
        <v>185</v>
      </c>
      <c r="C132" s="63"/>
      <c r="D132" s="63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17">
        <f t="shared" si="26"/>
        <v>0</v>
      </c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17">
        <f t="shared" si="27"/>
        <v>0</v>
      </c>
    </row>
    <row r="133" spans="1:30" ht="24" customHeight="1" thickBot="1">
      <c r="A133" s="196" t="s">
        <v>208</v>
      </c>
      <c r="B133" s="197"/>
      <c r="C133" s="45">
        <f>+D133/Metas!L32</f>
        <v>1.0204081632653061</v>
      </c>
      <c r="D133" s="19">
        <f>+Q133/AD133</f>
        <v>1</v>
      </c>
      <c r="E133" s="55">
        <f>SUM(E120:E132)</f>
        <v>2</v>
      </c>
      <c r="F133" s="55">
        <f aca="true" t="shared" si="28" ref="F133:P133">SUM(F120:F132)</f>
        <v>2</v>
      </c>
      <c r="G133" s="55">
        <f t="shared" si="28"/>
        <v>0</v>
      </c>
      <c r="H133" s="55">
        <f t="shared" si="28"/>
        <v>0</v>
      </c>
      <c r="I133" s="55">
        <f t="shared" si="28"/>
        <v>0</v>
      </c>
      <c r="J133" s="55">
        <f t="shared" si="28"/>
        <v>0</v>
      </c>
      <c r="K133" s="55">
        <f t="shared" si="28"/>
        <v>0</v>
      </c>
      <c r="L133" s="55">
        <f t="shared" si="28"/>
        <v>0</v>
      </c>
      <c r="M133" s="55">
        <f t="shared" si="28"/>
        <v>0</v>
      </c>
      <c r="N133" s="55">
        <f t="shared" si="28"/>
        <v>0</v>
      </c>
      <c r="O133" s="55">
        <f t="shared" si="28"/>
        <v>0</v>
      </c>
      <c r="P133" s="55">
        <f t="shared" si="28"/>
        <v>0</v>
      </c>
      <c r="Q133" s="14">
        <f>SUM(Q120:Q132)</f>
        <v>4</v>
      </c>
      <c r="R133" s="55">
        <f aca="true" t="shared" si="29" ref="R133:AC133">SUM(R120:R132)</f>
        <v>2</v>
      </c>
      <c r="S133" s="55">
        <f t="shared" si="29"/>
        <v>2</v>
      </c>
      <c r="T133" s="55">
        <f t="shared" si="29"/>
        <v>0</v>
      </c>
      <c r="U133" s="55">
        <f t="shared" si="29"/>
        <v>0</v>
      </c>
      <c r="V133" s="55">
        <f t="shared" si="29"/>
        <v>0</v>
      </c>
      <c r="W133" s="55">
        <f t="shared" si="29"/>
        <v>0</v>
      </c>
      <c r="X133" s="55">
        <f t="shared" si="29"/>
        <v>0</v>
      </c>
      <c r="Y133" s="55">
        <f t="shared" si="29"/>
        <v>0</v>
      </c>
      <c r="Z133" s="55">
        <f t="shared" si="29"/>
        <v>0</v>
      </c>
      <c r="AA133" s="55">
        <f t="shared" si="29"/>
        <v>0</v>
      </c>
      <c r="AB133" s="55">
        <f t="shared" si="29"/>
        <v>0</v>
      </c>
      <c r="AC133" s="55">
        <f t="shared" si="29"/>
        <v>0</v>
      </c>
      <c r="AD133" s="14">
        <f>SUM(AD120:AD132)</f>
        <v>4</v>
      </c>
    </row>
    <row r="134" spans="1:30" ht="15" thickBot="1">
      <c r="A134" s="110" t="s">
        <v>191</v>
      </c>
      <c r="B134" s="103" t="s">
        <v>187</v>
      </c>
      <c r="C134" s="63"/>
      <c r="D134" s="63"/>
      <c r="E134" s="84">
        <v>1</v>
      </c>
      <c r="F134" s="84">
        <v>2</v>
      </c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17">
        <f>SUM(E134:P134)</f>
        <v>3</v>
      </c>
      <c r="R134" s="84">
        <v>1</v>
      </c>
      <c r="S134" s="84">
        <v>2</v>
      </c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17">
        <f>SUM(R134:AC134)</f>
        <v>3</v>
      </c>
    </row>
    <row r="135" spans="1:30" ht="15" thickBot="1">
      <c r="A135" s="110" t="s">
        <v>191</v>
      </c>
      <c r="B135" s="103" t="s">
        <v>188</v>
      </c>
      <c r="C135" s="63"/>
      <c r="D135" s="63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17">
        <f>SUM(E135:P135)</f>
        <v>0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17">
        <f>SUM(R135:AC135)</f>
        <v>0</v>
      </c>
    </row>
    <row r="136" spans="1:30" ht="15" thickBot="1">
      <c r="A136" s="110" t="s">
        <v>191</v>
      </c>
      <c r="B136" s="103" t="s">
        <v>189</v>
      </c>
      <c r="C136" s="63"/>
      <c r="D136" s="63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17">
        <f>SUM(E136:P136)</f>
        <v>0</v>
      </c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17">
        <f>SUM(R136:AC136)</f>
        <v>0</v>
      </c>
    </row>
    <row r="137" spans="1:30" ht="15" thickBot="1">
      <c r="A137" s="110" t="s">
        <v>191</v>
      </c>
      <c r="B137" s="103" t="s">
        <v>190</v>
      </c>
      <c r="C137" s="63"/>
      <c r="D137" s="63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17">
        <f>SUM(E137:P137)</f>
        <v>0</v>
      </c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17">
        <f>SUM(R137:AC137)</f>
        <v>0</v>
      </c>
    </row>
    <row r="138" spans="1:30" ht="15" thickBot="1">
      <c r="A138" s="196" t="s">
        <v>209</v>
      </c>
      <c r="B138" s="197"/>
      <c r="C138" s="45">
        <f>+D138/Metas!L34</f>
        <v>1.0204081632653061</v>
      </c>
      <c r="D138" s="19">
        <f>+Q138/AD138</f>
        <v>1</v>
      </c>
      <c r="E138" s="55">
        <f>SUM(E134:E137)</f>
        <v>1</v>
      </c>
      <c r="F138" s="55">
        <f aca="true" t="shared" si="30" ref="F138:P138">SUM(F134:F137)</f>
        <v>2</v>
      </c>
      <c r="G138" s="55">
        <f t="shared" si="30"/>
        <v>0</v>
      </c>
      <c r="H138" s="55">
        <f t="shared" si="30"/>
        <v>0</v>
      </c>
      <c r="I138" s="55">
        <f t="shared" si="30"/>
        <v>0</v>
      </c>
      <c r="J138" s="55">
        <f t="shared" si="30"/>
        <v>0</v>
      </c>
      <c r="K138" s="55">
        <f t="shared" si="30"/>
        <v>0</v>
      </c>
      <c r="L138" s="55">
        <f t="shared" si="30"/>
        <v>0</v>
      </c>
      <c r="M138" s="55">
        <f t="shared" si="30"/>
        <v>0</v>
      </c>
      <c r="N138" s="55">
        <f t="shared" si="30"/>
        <v>0</v>
      </c>
      <c r="O138" s="55">
        <f t="shared" si="30"/>
        <v>0</v>
      </c>
      <c r="P138" s="55">
        <f t="shared" si="30"/>
        <v>0</v>
      </c>
      <c r="Q138" s="14">
        <f>SUM(Q134:Q137)</f>
        <v>3</v>
      </c>
      <c r="R138" s="55">
        <f aca="true" t="shared" si="31" ref="R138:AC138">SUM(R134:R137)</f>
        <v>1</v>
      </c>
      <c r="S138" s="55">
        <f t="shared" si="31"/>
        <v>2</v>
      </c>
      <c r="T138" s="55">
        <f t="shared" si="31"/>
        <v>0</v>
      </c>
      <c r="U138" s="55">
        <f t="shared" si="31"/>
        <v>0</v>
      </c>
      <c r="V138" s="55">
        <f t="shared" si="31"/>
        <v>0</v>
      </c>
      <c r="W138" s="55">
        <f t="shared" si="31"/>
        <v>0</v>
      </c>
      <c r="X138" s="55">
        <f t="shared" si="31"/>
        <v>0</v>
      </c>
      <c r="Y138" s="55">
        <f t="shared" si="31"/>
        <v>0</v>
      </c>
      <c r="Z138" s="55">
        <f t="shared" si="31"/>
        <v>0</v>
      </c>
      <c r="AA138" s="55">
        <f t="shared" si="31"/>
        <v>0</v>
      </c>
      <c r="AB138" s="55">
        <f t="shared" si="31"/>
        <v>0</v>
      </c>
      <c r="AC138" s="55">
        <f t="shared" si="31"/>
        <v>0</v>
      </c>
      <c r="AD138" s="14">
        <f>SUM(AD134:AD137)</f>
        <v>3</v>
      </c>
    </row>
    <row r="139" spans="1:30" ht="15" thickBot="1">
      <c r="A139" s="110" t="s">
        <v>199</v>
      </c>
      <c r="B139" s="103" t="s">
        <v>192</v>
      </c>
      <c r="C139" s="63"/>
      <c r="D139" s="63"/>
      <c r="E139" s="84"/>
      <c r="F139" s="84">
        <v>1</v>
      </c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17">
        <f aca="true" t="shared" si="32" ref="Q139:Q144">SUM(E139:P139)</f>
        <v>1</v>
      </c>
      <c r="R139" s="84"/>
      <c r="S139" s="84">
        <v>1</v>
      </c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17">
        <f aca="true" t="shared" si="33" ref="AD139:AD145">SUM(R139:AC139)</f>
        <v>1</v>
      </c>
    </row>
    <row r="140" spans="1:30" ht="15" thickBot="1">
      <c r="A140" s="110" t="s">
        <v>199</v>
      </c>
      <c r="B140" s="103" t="s">
        <v>193</v>
      </c>
      <c r="C140" s="63"/>
      <c r="D140" s="63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17">
        <f t="shared" si="32"/>
        <v>0</v>
      </c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17">
        <f t="shared" si="33"/>
        <v>0</v>
      </c>
    </row>
    <row r="141" spans="1:30" ht="15" thickBot="1">
      <c r="A141" s="110" t="s">
        <v>199</v>
      </c>
      <c r="B141" s="103" t="s">
        <v>194</v>
      </c>
      <c r="C141" s="63"/>
      <c r="D141" s="63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17">
        <f t="shared" si="32"/>
        <v>0</v>
      </c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17">
        <f t="shared" si="33"/>
        <v>0</v>
      </c>
    </row>
    <row r="142" spans="1:30" ht="15" thickBot="1">
      <c r="A142" s="110" t="s">
        <v>199</v>
      </c>
      <c r="B142" s="103" t="s">
        <v>195</v>
      </c>
      <c r="C142" s="63"/>
      <c r="D142" s="63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17">
        <f t="shared" si="32"/>
        <v>0</v>
      </c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17">
        <f t="shared" si="33"/>
        <v>0</v>
      </c>
    </row>
    <row r="143" spans="1:30" ht="15" thickBot="1">
      <c r="A143" s="110" t="s">
        <v>199</v>
      </c>
      <c r="B143" s="103" t="s">
        <v>196</v>
      </c>
      <c r="C143" s="63"/>
      <c r="D143" s="63"/>
      <c r="E143" s="84">
        <v>2</v>
      </c>
      <c r="F143" s="84">
        <v>3</v>
      </c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17">
        <f t="shared" si="32"/>
        <v>5</v>
      </c>
      <c r="R143" s="84">
        <v>2</v>
      </c>
      <c r="S143" s="84">
        <v>3</v>
      </c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17">
        <f t="shared" si="33"/>
        <v>5</v>
      </c>
    </row>
    <row r="144" spans="1:30" ht="15" thickBot="1">
      <c r="A144" s="110" t="s">
        <v>199</v>
      </c>
      <c r="B144" s="103" t="s">
        <v>197</v>
      </c>
      <c r="C144" s="63"/>
      <c r="D144" s="63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17">
        <f t="shared" si="32"/>
        <v>0</v>
      </c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17">
        <f t="shared" si="33"/>
        <v>0</v>
      </c>
    </row>
    <row r="145" spans="1:30" ht="15" thickBot="1">
      <c r="A145" s="110" t="s">
        <v>199</v>
      </c>
      <c r="B145" s="103" t="s">
        <v>198</v>
      </c>
      <c r="C145" s="63"/>
      <c r="D145" s="63"/>
      <c r="E145" s="84">
        <v>3</v>
      </c>
      <c r="F145" s="84">
        <v>3</v>
      </c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17">
        <f>SUM(E145:P145)</f>
        <v>6</v>
      </c>
      <c r="R145" s="84">
        <v>3</v>
      </c>
      <c r="S145" s="84">
        <v>3</v>
      </c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17">
        <f t="shared" si="33"/>
        <v>6</v>
      </c>
    </row>
    <row r="146" spans="1:30" ht="15" thickBot="1">
      <c r="A146" s="196" t="s">
        <v>210</v>
      </c>
      <c r="B146" s="197"/>
      <c r="C146" s="45">
        <f>+D146/Metas!L35</f>
        <v>1.0204081632653061</v>
      </c>
      <c r="D146" s="19">
        <f>+Q146/AD146</f>
        <v>1</v>
      </c>
      <c r="E146" s="55">
        <f>SUM(E139:E145)</f>
        <v>5</v>
      </c>
      <c r="F146" s="55">
        <f aca="true" t="shared" si="34" ref="F146:P146">SUM(F139:F145)</f>
        <v>7</v>
      </c>
      <c r="G146" s="55">
        <f t="shared" si="34"/>
        <v>0</v>
      </c>
      <c r="H146" s="55">
        <f t="shared" si="34"/>
        <v>0</v>
      </c>
      <c r="I146" s="55">
        <f t="shared" si="34"/>
        <v>0</v>
      </c>
      <c r="J146" s="55">
        <f t="shared" si="34"/>
        <v>0</v>
      </c>
      <c r="K146" s="55">
        <f t="shared" si="34"/>
        <v>0</v>
      </c>
      <c r="L146" s="55">
        <f t="shared" si="34"/>
        <v>0</v>
      </c>
      <c r="M146" s="55">
        <f t="shared" si="34"/>
        <v>0</v>
      </c>
      <c r="N146" s="55">
        <f t="shared" si="34"/>
        <v>0</v>
      </c>
      <c r="O146" s="55">
        <f t="shared" si="34"/>
        <v>0</v>
      </c>
      <c r="P146" s="55">
        <f t="shared" si="34"/>
        <v>0</v>
      </c>
      <c r="Q146" s="14">
        <f>SUM(Q139:Q145)</f>
        <v>12</v>
      </c>
      <c r="R146" s="55">
        <f aca="true" t="shared" si="35" ref="R146:AC146">SUM(R139:R145)</f>
        <v>5</v>
      </c>
      <c r="S146" s="55">
        <f t="shared" si="35"/>
        <v>7</v>
      </c>
      <c r="T146" s="55">
        <f t="shared" si="35"/>
        <v>0</v>
      </c>
      <c r="U146" s="55">
        <f t="shared" si="35"/>
        <v>0</v>
      </c>
      <c r="V146" s="55">
        <f t="shared" si="35"/>
        <v>0</v>
      </c>
      <c r="W146" s="55">
        <f t="shared" si="35"/>
        <v>0</v>
      </c>
      <c r="X146" s="55">
        <f t="shared" si="35"/>
        <v>0</v>
      </c>
      <c r="Y146" s="55">
        <f t="shared" si="35"/>
        <v>0</v>
      </c>
      <c r="Z146" s="55">
        <f t="shared" si="35"/>
        <v>0</v>
      </c>
      <c r="AA146" s="55">
        <f t="shared" si="35"/>
        <v>0</v>
      </c>
      <c r="AB146" s="55">
        <f t="shared" si="35"/>
        <v>0</v>
      </c>
      <c r="AC146" s="55">
        <f t="shared" si="35"/>
        <v>0</v>
      </c>
      <c r="AD146" s="14">
        <f>SUM(AD139:AD145)</f>
        <v>12</v>
      </c>
    </row>
    <row r="147" spans="2:30" ht="14.25">
      <c r="B147" s="148" t="s">
        <v>215</v>
      </c>
      <c r="C147" s="72"/>
      <c r="D147" s="73"/>
      <c r="E147" s="84">
        <f aca="true" t="shared" si="36" ref="E147:AD147">+E25+E36+E47+E61+E72+E78+E89+E106+E119+E133+E138+E146</f>
        <v>136</v>
      </c>
      <c r="F147" s="84">
        <f t="shared" si="36"/>
        <v>148</v>
      </c>
      <c r="G147" s="84">
        <f t="shared" si="36"/>
        <v>0</v>
      </c>
      <c r="H147" s="84">
        <f t="shared" si="36"/>
        <v>0</v>
      </c>
      <c r="I147" s="84">
        <f t="shared" si="36"/>
        <v>0</v>
      </c>
      <c r="J147" s="84">
        <f t="shared" si="36"/>
        <v>0</v>
      </c>
      <c r="K147" s="84">
        <f t="shared" si="36"/>
        <v>0</v>
      </c>
      <c r="L147" s="84">
        <f t="shared" si="36"/>
        <v>0</v>
      </c>
      <c r="M147" s="84">
        <f t="shared" si="36"/>
        <v>0</v>
      </c>
      <c r="N147" s="84">
        <f t="shared" si="36"/>
        <v>0</v>
      </c>
      <c r="O147" s="84">
        <f t="shared" si="36"/>
        <v>0</v>
      </c>
      <c r="P147" s="84">
        <f t="shared" si="36"/>
        <v>0</v>
      </c>
      <c r="Q147" s="76">
        <f t="shared" si="36"/>
        <v>284</v>
      </c>
      <c r="R147" s="84">
        <f t="shared" si="36"/>
        <v>136</v>
      </c>
      <c r="S147" s="84">
        <f t="shared" si="36"/>
        <v>148</v>
      </c>
      <c r="T147" s="84">
        <f t="shared" si="36"/>
        <v>0</v>
      </c>
      <c r="U147" s="84">
        <f t="shared" si="36"/>
        <v>0</v>
      </c>
      <c r="V147" s="84">
        <f t="shared" si="36"/>
        <v>0</v>
      </c>
      <c r="W147" s="84">
        <f t="shared" si="36"/>
        <v>0</v>
      </c>
      <c r="X147" s="84">
        <f t="shared" si="36"/>
        <v>0</v>
      </c>
      <c r="Y147" s="84">
        <f t="shared" si="36"/>
        <v>0</v>
      </c>
      <c r="Z147" s="84">
        <f t="shared" si="36"/>
        <v>0</v>
      </c>
      <c r="AA147" s="84">
        <f t="shared" si="36"/>
        <v>0</v>
      </c>
      <c r="AB147" s="84">
        <f t="shared" si="36"/>
        <v>0</v>
      </c>
      <c r="AC147" s="84">
        <f t="shared" si="36"/>
        <v>0</v>
      </c>
      <c r="AD147" s="76">
        <f t="shared" si="36"/>
        <v>284</v>
      </c>
    </row>
    <row r="148" spans="3:4" ht="14.25">
      <c r="C148" s="74"/>
      <c r="D148" s="98"/>
    </row>
  </sheetData>
  <sheetProtection/>
  <mergeCells count="21">
    <mergeCell ref="A133:B133"/>
    <mergeCell ref="A138:B138"/>
    <mergeCell ref="A146:B146"/>
    <mergeCell ref="A47:B47"/>
    <mergeCell ref="A61:B61"/>
    <mergeCell ref="A72:B72"/>
    <mergeCell ref="A78:B78"/>
    <mergeCell ref="A89:B89"/>
    <mergeCell ref="A106:B106"/>
    <mergeCell ref="A25:B25"/>
    <mergeCell ref="A36:B36"/>
    <mergeCell ref="A1:A10"/>
    <mergeCell ref="A119:B119"/>
    <mergeCell ref="B1:B10"/>
    <mergeCell ref="C1:C11"/>
    <mergeCell ref="E1:AD1"/>
    <mergeCell ref="E2:Q9"/>
    <mergeCell ref="R2:AD9"/>
    <mergeCell ref="E10:Q10"/>
    <mergeCell ref="R10:AD10"/>
    <mergeCell ref="D1:D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148"/>
  <sheetViews>
    <sheetView zoomScale="80" zoomScaleNormal="8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11.421875" defaultRowHeight="15"/>
  <cols>
    <col min="1" max="1" width="20.28125" style="110" bestFit="1" customWidth="1"/>
    <col min="2" max="2" width="36.7109375" style="110" bestFit="1" customWidth="1"/>
    <col min="3" max="3" width="14.421875" style="62" customWidth="1"/>
    <col min="4" max="4" width="21.7109375" style="62" customWidth="1"/>
    <col min="5" max="10" width="11.140625" style="76" bestFit="1" customWidth="1"/>
    <col min="11" max="11" width="9.7109375" style="76" bestFit="1" customWidth="1"/>
    <col min="12" max="12" width="8.421875" style="76" bestFit="1" customWidth="1"/>
    <col min="13" max="17" width="7.57421875" style="76" bestFit="1" customWidth="1"/>
    <col min="18" max="18" width="8.421875" style="76" bestFit="1" customWidth="1"/>
    <col min="19" max="19" width="7.8515625" style="76" customWidth="1"/>
    <col min="20" max="20" width="7.8515625" style="76" bestFit="1" customWidth="1"/>
    <col min="21" max="21" width="7.7109375" style="76" bestFit="1" customWidth="1"/>
    <col min="22" max="22" width="7.140625" style="76" bestFit="1" customWidth="1"/>
    <col min="23" max="24" width="9.7109375" style="76" bestFit="1" customWidth="1"/>
    <col min="25" max="25" width="8.421875" style="76" bestFit="1" customWidth="1"/>
    <col min="26" max="26" width="7.140625" style="76" customWidth="1"/>
    <col min="27" max="28" width="7.140625" style="76" bestFit="1" customWidth="1"/>
    <col min="29" max="30" width="7.57421875" style="76" bestFit="1" customWidth="1"/>
    <col min="31" max="31" width="8.140625" style="76" customWidth="1"/>
    <col min="32" max="32" width="7.140625" style="76" bestFit="1" customWidth="1"/>
    <col min="33" max="34" width="8.140625" style="76" customWidth="1"/>
    <col min="35" max="35" width="7.140625" style="76" bestFit="1" customWidth="1"/>
    <col min="36" max="36" width="9.7109375" style="76" bestFit="1" customWidth="1"/>
    <col min="37" max="37" width="13.140625" style="76" customWidth="1"/>
    <col min="38" max="39" width="16.8515625" style="76" bestFit="1" customWidth="1"/>
    <col min="40" max="43" width="11.421875" style="76" customWidth="1"/>
    <col min="44" max="16384" width="11.421875" style="62" customWidth="1"/>
  </cols>
  <sheetData>
    <row r="1" spans="1:39" ht="73.5" customHeight="1" thickBot="1" thickTop="1">
      <c r="A1" s="204" t="s">
        <v>0</v>
      </c>
      <c r="B1" s="198" t="s">
        <v>1</v>
      </c>
      <c r="C1" s="198" t="s">
        <v>217</v>
      </c>
      <c r="D1" s="222" t="s">
        <v>213</v>
      </c>
      <c r="E1" s="256" t="s">
        <v>48</v>
      </c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8"/>
    </row>
    <row r="2" spans="1:39" ht="15" customHeight="1" thickTop="1">
      <c r="A2" s="205"/>
      <c r="B2" s="208"/>
      <c r="C2" s="199"/>
      <c r="D2" s="223"/>
      <c r="E2" s="259" t="s">
        <v>3</v>
      </c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1"/>
      <c r="AK2" s="262" t="s">
        <v>4</v>
      </c>
      <c r="AL2" s="245"/>
      <c r="AM2" s="245"/>
    </row>
    <row r="3" spans="1:39" ht="15" customHeight="1">
      <c r="A3" s="205"/>
      <c r="B3" s="208"/>
      <c r="C3" s="199"/>
      <c r="D3" s="223"/>
      <c r="E3" s="262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63"/>
      <c r="AK3" s="262"/>
      <c r="AL3" s="245"/>
      <c r="AM3" s="245"/>
    </row>
    <row r="4" spans="1:39" ht="15" customHeight="1">
      <c r="A4" s="205"/>
      <c r="B4" s="208"/>
      <c r="C4" s="199"/>
      <c r="D4" s="223"/>
      <c r="E4" s="262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63"/>
      <c r="AK4" s="262"/>
      <c r="AL4" s="245"/>
      <c r="AM4" s="245"/>
    </row>
    <row r="5" spans="1:39" ht="15" customHeight="1">
      <c r="A5" s="205"/>
      <c r="B5" s="208"/>
      <c r="C5" s="199"/>
      <c r="D5" s="223"/>
      <c r="E5" s="262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63"/>
      <c r="AK5" s="262"/>
      <c r="AL5" s="245"/>
      <c r="AM5" s="245"/>
    </row>
    <row r="6" spans="1:39" ht="15" customHeight="1">
      <c r="A6" s="205"/>
      <c r="B6" s="208"/>
      <c r="C6" s="199"/>
      <c r="D6" s="223"/>
      <c r="E6" s="262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63"/>
      <c r="AK6" s="262"/>
      <c r="AL6" s="245"/>
      <c r="AM6" s="245"/>
    </row>
    <row r="7" spans="1:39" ht="15" customHeight="1">
      <c r="A7" s="205"/>
      <c r="B7" s="208"/>
      <c r="C7" s="199"/>
      <c r="D7" s="223"/>
      <c r="E7" s="262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63"/>
      <c r="AK7" s="262"/>
      <c r="AL7" s="245"/>
      <c r="AM7" s="245"/>
    </row>
    <row r="8" spans="1:39" ht="15" customHeight="1">
      <c r="A8" s="205"/>
      <c r="B8" s="208"/>
      <c r="C8" s="199"/>
      <c r="D8" s="223"/>
      <c r="E8" s="262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63"/>
      <c r="AK8" s="262"/>
      <c r="AL8" s="245"/>
      <c r="AM8" s="245"/>
    </row>
    <row r="9" spans="1:39" ht="15.75" customHeight="1" thickBot="1">
      <c r="A9" s="205"/>
      <c r="B9" s="208"/>
      <c r="C9" s="199"/>
      <c r="D9" s="223"/>
      <c r="E9" s="264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6"/>
      <c r="AK9" s="264"/>
      <c r="AL9" s="265"/>
      <c r="AM9" s="265"/>
    </row>
    <row r="10" spans="1:39" ht="57.75" customHeight="1" thickBot="1" thickTop="1">
      <c r="A10" s="206"/>
      <c r="B10" s="200"/>
      <c r="C10" s="199"/>
      <c r="D10" s="224"/>
      <c r="E10" s="254" t="s">
        <v>49</v>
      </c>
      <c r="F10" s="255"/>
      <c r="G10" s="255"/>
      <c r="H10" s="255"/>
      <c r="I10" s="255"/>
      <c r="J10" s="255"/>
      <c r="K10" s="254" t="s">
        <v>52</v>
      </c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69"/>
      <c r="X10" s="251" t="s">
        <v>53</v>
      </c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70" t="s">
        <v>211</v>
      </c>
      <c r="AL10" s="272" t="s">
        <v>50</v>
      </c>
      <c r="AM10" s="267" t="s">
        <v>51</v>
      </c>
    </row>
    <row r="11" spans="1:39" ht="33" thickBot="1">
      <c r="A11" s="149"/>
      <c r="B11" s="149"/>
      <c r="C11" s="200"/>
      <c r="D11" s="140" t="s">
        <v>214</v>
      </c>
      <c r="E11" s="144" t="s">
        <v>292</v>
      </c>
      <c r="F11" s="145" t="s">
        <v>274</v>
      </c>
      <c r="G11" s="144" t="s">
        <v>22</v>
      </c>
      <c r="H11" s="145" t="s">
        <v>26</v>
      </c>
      <c r="I11" s="145" t="s">
        <v>28</v>
      </c>
      <c r="J11" s="145" t="s">
        <v>27</v>
      </c>
      <c r="K11" s="144" t="s">
        <v>9</v>
      </c>
      <c r="L11" s="144" t="s">
        <v>10</v>
      </c>
      <c r="M11" s="144" t="s">
        <v>11</v>
      </c>
      <c r="N11" s="144" t="s">
        <v>12</v>
      </c>
      <c r="O11" s="144" t="s">
        <v>13</v>
      </c>
      <c r="P11" s="144" t="s">
        <v>14</v>
      </c>
      <c r="Q11" s="144" t="s">
        <v>15</v>
      </c>
      <c r="R11" s="144" t="s">
        <v>16</v>
      </c>
      <c r="S11" s="144" t="s">
        <v>17</v>
      </c>
      <c r="T11" s="144" t="s">
        <v>18</v>
      </c>
      <c r="U11" s="144" t="s">
        <v>19</v>
      </c>
      <c r="V11" s="144" t="s">
        <v>20</v>
      </c>
      <c r="W11" s="144" t="s">
        <v>21</v>
      </c>
      <c r="X11" s="144" t="s">
        <v>9</v>
      </c>
      <c r="Y11" s="144" t="s">
        <v>10</v>
      </c>
      <c r="Z11" s="144" t="s">
        <v>11</v>
      </c>
      <c r="AA11" s="144" t="s">
        <v>12</v>
      </c>
      <c r="AB11" s="144" t="s">
        <v>13</v>
      </c>
      <c r="AC11" s="144" t="s">
        <v>14</v>
      </c>
      <c r="AD11" s="144" t="s">
        <v>15</v>
      </c>
      <c r="AE11" s="144" t="s">
        <v>16</v>
      </c>
      <c r="AF11" s="144" t="s">
        <v>17</v>
      </c>
      <c r="AG11" s="144" t="s">
        <v>18</v>
      </c>
      <c r="AH11" s="144" t="s">
        <v>19</v>
      </c>
      <c r="AI11" s="144" t="s">
        <v>20</v>
      </c>
      <c r="AJ11" s="145" t="s">
        <v>21</v>
      </c>
      <c r="AK11" s="271"/>
      <c r="AL11" s="273"/>
      <c r="AM11" s="268"/>
    </row>
    <row r="12" spans="1:36" ht="15" thickBot="1">
      <c r="A12" s="110" t="s">
        <v>78</v>
      </c>
      <c r="B12" s="103" t="s">
        <v>65</v>
      </c>
      <c r="C12" s="63"/>
      <c r="D12" s="63"/>
      <c r="E12" s="17">
        <v>1588</v>
      </c>
      <c r="F12" s="49">
        <f>+E12+(K12+L12+M12)-(X12+Y12+Z12)</f>
        <v>1584</v>
      </c>
      <c r="G12" s="17"/>
      <c r="H12" s="61">
        <f>+G12+(Q12+R12)-(AD12+AE12)</f>
        <v>0</v>
      </c>
      <c r="I12" s="50">
        <f aca="true" t="shared" si="0" ref="I12:I24">+G12+(Q12+R12+S12+T12)-(AD12+AE12+AF12+AG12)</f>
        <v>0</v>
      </c>
      <c r="J12" s="51"/>
      <c r="K12" s="126"/>
      <c r="L12" s="126">
        <v>2</v>
      </c>
      <c r="M12" s="126"/>
      <c r="N12" s="126"/>
      <c r="O12" s="126"/>
      <c r="P12" s="126"/>
      <c r="Q12" s="126"/>
      <c r="R12" s="126"/>
      <c r="S12" s="126"/>
      <c r="T12" s="127"/>
      <c r="U12" s="126"/>
      <c r="V12" s="52"/>
      <c r="W12" s="17">
        <f>SUM(K12:V12)</f>
        <v>2</v>
      </c>
      <c r="X12" s="126">
        <v>2</v>
      </c>
      <c r="Y12" s="126">
        <v>4</v>
      </c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7">
        <f>SUM(X12:AI12)</f>
        <v>6</v>
      </c>
    </row>
    <row r="13" spans="1:36" ht="15" thickBot="1">
      <c r="A13" s="110" t="s">
        <v>78</v>
      </c>
      <c r="B13" s="103" t="s">
        <v>66</v>
      </c>
      <c r="C13" s="63"/>
      <c r="D13" s="63"/>
      <c r="E13" s="17">
        <v>1111</v>
      </c>
      <c r="F13" s="49">
        <f aca="true" t="shared" si="1" ref="F13:F24">+E13+(K13+L13+M13)-(X13+Y13+Z13)</f>
        <v>1117</v>
      </c>
      <c r="G13" s="17"/>
      <c r="H13" s="61">
        <f aca="true" t="shared" si="2" ref="H13:H75">+G13+(Q13+R13)-(AD13+AE13)</f>
        <v>0</v>
      </c>
      <c r="I13" s="50">
        <f t="shared" si="0"/>
        <v>0</v>
      </c>
      <c r="J13" s="51"/>
      <c r="K13" s="126">
        <v>15</v>
      </c>
      <c r="L13" s="126">
        <v>17</v>
      </c>
      <c r="M13" s="126"/>
      <c r="N13" s="126"/>
      <c r="O13" s="126"/>
      <c r="P13" s="126"/>
      <c r="Q13" s="126"/>
      <c r="R13" s="126"/>
      <c r="S13" s="126"/>
      <c r="T13" s="127"/>
      <c r="U13" s="126"/>
      <c r="V13" s="52"/>
      <c r="W13" s="17">
        <f aca="true" t="shared" si="3" ref="W13:W24">SUM(K13:V13)</f>
        <v>32</v>
      </c>
      <c r="X13" s="126">
        <v>9</v>
      </c>
      <c r="Y13" s="126">
        <v>17</v>
      </c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7">
        <f aca="true" t="shared" si="4" ref="AJ13:AJ23">SUM(X13:AI13)</f>
        <v>26</v>
      </c>
    </row>
    <row r="14" spans="1:36" ht="15" thickBot="1">
      <c r="A14" s="110" t="s">
        <v>78</v>
      </c>
      <c r="B14" s="103" t="s">
        <v>67</v>
      </c>
      <c r="C14" s="63"/>
      <c r="D14" s="63"/>
      <c r="E14" s="17">
        <v>1438</v>
      </c>
      <c r="F14" s="49">
        <f t="shared" si="1"/>
        <v>1459</v>
      </c>
      <c r="G14" s="17"/>
      <c r="H14" s="61">
        <f t="shared" si="2"/>
        <v>0</v>
      </c>
      <c r="I14" s="50">
        <f t="shared" si="0"/>
        <v>0</v>
      </c>
      <c r="J14" s="51"/>
      <c r="K14" s="126">
        <v>9</v>
      </c>
      <c r="L14" s="126">
        <v>17</v>
      </c>
      <c r="M14" s="126"/>
      <c r="N14" s="126"/>
      <c r="O14" s="126"/>
      <c r="P14" s="126"/>
      <c r="Q14" s="126"/>
      <c r="R14" s="126"/>
      <c r="S14" s="126"/>
      <c r="T14" s="127"/>
      <c r="U14" s="126"/>
      <c r="V14" s="52"/>
      <c r="W14" s="17">
        <f t="shared" si="3"/>
        <v>26</v>
      </c>
      <c r="X14" s="126">
        <v>4</v>
      </c>
      <c r="Y14" s="126">
        <v>1</v>
      </c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7">
        <f t="shared" si="4"/>
        <v>5</v>
      </c>
    </row>
    <row r="15" spans="1:36" ht="15" thickBot="1">
      <c r="A15" s="110" t="s">
        <v>78</v>
      </c>
      <c r="B15" s="103" t="s">
        <v>68</v>
      </c>
      <c r="C15" s="63"/>
      <c r="D15" s="63"/>
      <c r="E15" s="17">
        <v>1611</v>
      </c>
      <c r="F15" s="49">
        <f t="shared" si="1"/>
        <v>1632</v>
      </c>
      <c r="G15" s="17"/>
      <c r="H15" s="61">
        <f t="shared" si="2"/>
        <v>0</v>
      </c>
      <c r="I15" s="50">
        <f t="shared" si="0"/>
        <v>0</v>
      </c>
      <c r="J15" s="51"/>
      <c r="K15" s="126">
        <v>15</v>
      </c>
      <c r="L15" s="126">
        <v>6</v>
      </c>
      <c r="M15" s="126"/>
      <c r="N15" s="126"/>
      <c r="O15" s="126"/>
      <c r="P15" s="126"/>
      <c r="Q15" s="126"/>
      <c r="R15" s="126"/>
      <c r="S15" s="126"/>
      <c r="T15" s="127"/>
      <c r="U15" s="126"/>
      <c r="V15" s="52"/>
      <c r="W15" s="17">
        <f t="shared" si="3"/>
        <v>21</v>
      </c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7">
        <f t="shared" si="4"/>
        <v>0</v>
      </c>
    </row>
    <row r="16" spans="1:36" ht="15" thickBot="1">
      <c r="A16" s="110" t="s">
        <v>78</v>
      </c>
      <c r="B16" s="103" t="s">
        <v>69</v>
      </c>
      <c r="C16" s="66"/>
      <c r="D16" s="63"/>
      <c r="E16" s="17">
        <v>1139</v>
      </c>
      <c r="F16" s="49">
        <f t="shared" si="1"/>
        <v>1156</v>
      </c>
      <c r="G16" s="17"/>
      <c r="H16" s="61">
        <f t="shared" si="2"/>
        <v>0</v>
      </c>
      <c r="I16" s="50">
        <f t="shared" si="0"/>
        <v>0</v>
      </c>
      <c r="J16" s="51"/>
      <c r="K16" s="126">
        <v>10</v>
      </c>
      <c r="L16" s="126">
        <v>7</v>
      </c>
      <c r="M16" s="126"/>
      <c r="N16" s="126"/>
      <c r="O16" s="126"/>
      <c r="P16" s="126"/>
      <c r="Q16" s="126"/>
      <c r="R16" s="126"/>
      <c r="S16" s="126"/>
      <c r="T16" s="127"/>
      <c r="U16" s="126"/>
      <c r="V16" s="52"/>
      <c r="W16" s="17">
        <f t="shared" si="3"/>
        <v>17</v>
      </c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7">
        <f t="shared" si="4"/>
        <v>0</v>
      </c>
    </row>
    <row r="17" spans="1:36" ht="15" thickBot="1">
      <c r="A17" s="110" t="s">
        <v>78</v>
      </c>
      <c r="B17" s="103" t="s">
        <v>70</v>
      </c>
      <c r="C17" s="63"/>
      <c r="D17" s="63"/>
      <c r="E17" s="17">
        <v>752</v>
      </c>
      <c r="F17" s="49">
        <f t="shared" si="1"/>
        <v>737</v>
      </c>
      <c r="G17" s="17"/>
      <c r="H17" s="61">
        <f t="shared" si="2"/>
        <v>0</v>
      </c>
      <c r="I17" s="50">
        <f t="shared" si="0"/>
        <v>0</v>
      </c>
      <c r="J17" s="51"/>
      <c r="K17" s="126"/>
      <c r="L17" s="126">
        <v>8</v>
      </c>
      <c r="M17" s="126"/>
      <c r="N17" s="126"/>
      <c r="O17" s="126"/>
      <c r="P17" s="126"/>
      <c r="Q17" s="126"/>
      <c r="R17" s="126"/>
      <c r="S17" s="126"/>
      <c r="T17" s="127"/>
      <c r="U17" s="126"/>
      <c r="V17" s="52"/>
      <c r="W17" s="17">
        <f t="shared" si="3"/>
        <v>8</v>
      </c>
      <c r="X17" s="126"/>
      <c r="Y17" s="126">
        <v>23</v>
      </c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7">
        <f t="shared" si="4"/>
        <v>23</v>
      </c>
    </row>
    <row r="18" spans="1:36" ht="15" thickBot="1">
      <c r="A18" s="110" t="s">
        <v>78</v>
      </c>
      <c r="B18" s="103" t="s">
        <v>71</v>
      </c>
      <c r="C18" s="63"/>
      <c r="D18" s="63"/>
      <c r="E18" s="17">
        <v>201</v>
      </c>
      <c r="F18" s="49">
        <f t="shared" si="1"/>
        <v>204</v>
      </c>
      <c r="G18" s="17"/>
      <c r="H18" s="61">
        <f t="shared" si="2"/>
        <v>0</v>
      </c>
      <c r="I18" s="50">
        <f t="shared" si="0"/>
        <v>0</v>
      </c>
      <c r="J18" s="51"/>
      <c r="K18" s="126">
        <v>1</v>
      </c>
      <c r="L18" s="126">
        <v>2</v>
      </c>
      <c r="M18" s="126"/>
      <c r="N18" s="126"/>
      <c r="O18" s="126"/>
      <c r="P18" s="126"/>
      <c r="Q18" s="126"/>
      <c r="R18" s="126"/>
      <c r="S18" s="126"/>
      <c r="T18" s="127"/>
      <c r="U18" s="126"/>
      <c r="V18" s="52"/>
      <c r="W18" s="17">
        <f t="shared" si="3"/>
        <v>3</v>
      </c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7">
        <f t="shared" si="4"/>
        <v>0</v>
      </c>
    </row>
    <row r="19" spans="1:36" ht="15" thickBot="1">
      <c r="A19" s="110" t="s">
        <v>78</v>
      </c>
      <c r="B19" s="103" t="s">
        <v>72</v>
      </c>
      <c r="C19" s="63"/>
      <c r="D19" s="63"/>
      <c r="E19" s="17">
        <v>28</v>
      </c>
      <c r="F19" s="49">
        <f t="shared" si="1"/>
        <v>28</v>
      </c>
      <c r="G19" s="17"/>
      <c r="H19" s="61">
        <f t="shared" si="2"/>
        <v>0</v>
      </c>
      <c r="I19" s="50">
        <f t="shared" si="0"/>
        <v>0</v>
      </c>
      <c r="J19" s="51"/>
      <c r="K19" s="126"/>
      <c r="L19" s="126"/>
      <c r="M19" s="126"/>
      <c r="N19" s="126"/>
      <c r="O19" s="126"/>
      <c r="P19" s="126"/>
      <c r="Q19" s="126"/>
      <c r="R19" s="126"/>
      <c r="S19" s="126"/>
      <c r="T19" s="127"/>
      <c r="U19" s="126"/>
      <c r="V19" s="52"/>
      <c r="W19" s="17">
        <f t="shared" si="3"/>
        <v>0</v>
      </c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7">
        <f t="shared" si="4"/>
        <v>0</v>
      </c>
    </row>
    <row r="20" spans="1:36" ht="15" thickBot="1">
      <c r="A20" s="110" t="s">
        <v>78</v>
      </c>
      <c r="B20" s="103" t="s">
        <v>73</v>
      </c>
      <c r="C20" s="63"/>
      <c r="D20" s="63"/>
      <c r="E20" s="17">
        <v>35</v>
      </c>
      <c r="F20" s="49">
        <f t="shared" si="1"/>
        <v>35</v>
      </c>
      <c r="G20" s="17"/>
      <c r="H20" s="61">
        <f t="shared" si="2"/>
        <v>0</v>
      </c>
      <c r="I20" s="50">
        <f t="shared" si="0"/>
        <v>0</v>
      </c>
      <c r="J20" s="51"/>
      <c r="K20" s="126"/>
      <c r="L20" s="126"/>
      <c r="M20" s="126"/>
      <c r="N20" s="126"/>
      <c r="O20" s="126"/>
      <c r="P20" s="126"/>
      <c r="Q20" s="126"/>
      <c r="R20" s="126"/>
      <c r="S20" s="126"/>
      <c r="T20" s="127"/>
      <c r="U20" s="126"/>
      <c r="V20" s="52"/>
      <c r="W20" s="17">
        <f t="shared" si="3"/>
        <v>0</v>
      </c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7">
        <f t="shared" si="4"/>
        <v>0</v>
      </c>
    </row>
    <row r="21" spans="1:36" ht="15" thickBot="1">
      <c r="A21" s="110" t="s">
        <v>78</v>
      </c>
      <c r="B21" s="103" t="s">
        <v>74</v>
      </c>
      <c r="C21" s="67"/>
      <c r="D21" s="63"/>
      <c r="E21" s="17">
        <v>34</v>
      </c>
      <c r="F21" s="49">
        <f t="shared" si="1"/>
        <v>35</v>
      </c>
      <c r="G21" s="17"/>
      <c r="H21" s="61">
        <f t="shared" si="2"/>
        <v>0</v>
      </c>
      <c r="I21" s="50">
        <f t="shared" si="0"/>
        <v>0</v>
      </c>
      <c r="J21" s="51"/>
      <c r="K21" s="126"/>
      <c r="L21" s="126">
        <v>1</v>
      </c>
      <c r="M21" s="126"/>
      <c r="N21" s="126"/>
      <c r="O21" s="126"/>
      <c r="P21" s="126"/>
      <c r="Q21" s="126"/>
      <c r="R21" s="126"/>
      <c r="S21" s="126"/>
      <c r="T21" s="127"/>
      <c r="U21" s="126"/>
      <c r="V21" s="52"/>
      <c r="W21" s="17">
        <f t="shared" si="3"/>
        <v>1</v>
      </c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7">
        <f t="shared" si="4"/>
        <v>0</v>
      </c>
    </row>
    <row r="22" spans="1:36" ht="15" thickBot="1">
      <c r="A22" s="110" t="s">
        <v>78</v>
      </c>
      <c r="B22" s="103" t="s">
        <v>75</v>
      </c>
      <c r="C22" s="63"/>
      <c r="D22" s="63"/>
      <c r="E22" s="17">
        <v>125</v>
      </c>
      <c r="F22" s="49">
        <f t="shared" si="1"/>
        <v>125</v>
      </c>
      <c r="G22" s="17"/>
      <c r="H22" s="61">
        <f t="shared" si="2"/>
        <v>0</v>
      </c>
      <c r="I22" s="50">
        <f t="shared" si="0"/>
        <v>0</v>
      </c>
      <c r="J22" s="51"/>
      <c r="K22" s="126"/>
      <c r="L22" s="126"/>
      <c r="M22" s="126"/>
      <c r="N22" s="126"/>
      <c r="O22" s="126"/>
      <c r="P22" s="126"/>
      <c r="Q22" s="126"/>
      <c r="R22" s="126"/>
      <c r="S22" s="126"/>
      <c r="T22" s="127"/>
      <c r="U22" s="126"/>
      <c r="V22" s="52"/>
      <c r="W22" s="17">
        <f t="shared" si="3"/>
        <v>0</v>
      </c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7">
        <f t="shared" si="4"/>
        <v>0</v>
      </c>
    </row>
    <row r="23" spans="1:36" ht="15" thickBot="1">
      <c r="A23" s="110" t="s">
        <v>78</v>
      </c>
      <c r="B23" s="103" t="s">
        <v>76</v>
      </c>
      <c r="C23" s="63"/>
      <c r="D23" s="63"/>
      <c r="E23" s="17">
        <v>74</v>
      </c>
      <c r="F23" s="49">
        <f t="shared" si="1"/>
        <v>73</v>
      </c>
      <c r="G23" s="17"/>
      <c r="H23" s="61">
        <f t="shared" si="2"/>
        <v>0</v>
      </c>
      <c r="I23" s="50">
        <f t="shared" si="0"/>
        <v>0</v>
      </c>
      <c r="J23" s="51"/>
      <c r="K23" s="126"/>
      <c r="L23" s="126">
        <v>1</v>
      </c>
      <c r="M23" s="126"/>
      <c r="N23" s="126"/>
      <c r="O23" s="126"/>
      <c r="P23" s="126"/>
      <c r="Q23" s="126"/>
      <c r="R23" s="126"/>
      <c r="S23" s="126"/>
      <c r="T23" s="127"/>
      <c r="U23" s="126"/>
      <c r="V23" s="52"/>
      <c r="W23" s="17">
        <f t="shared" si="3"/>
        <v>1</v>
      </c>
      <c r="X23" s="126">
        <v>2</v>
      </c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7">
        <f t="shared" si="4"/>
        <v>2</v>
      </c>
    </row>
    <row r="24" spans="1:36" ht="15" thickBot="1">
      <c r="A24" s="110" t="s">
        <v>78</v>
      </c>
      <c r="B24" s="103" t="s">
        <v>77</v>
      </c>
      <c r="C24" s="63"/>
      <c r="D24" s="63"/>
      <c r="E24" s="17">
        <v>152</v>
      </c>
      <c r="F24" s="49">
        <f t="shared" si="1"/>
        <v>154</v>
      </c>
      <c r="G24" s="17"/>
      <c r="H24" s="61">
        <f t="shared" si="2"/>
        <v>0</v>
      </c>
      <c r="I24" s="50">
        <f t="shared" si="0"/>
        <v>0</v>
      </c>
      <c r="J24" s="51"/>
      <c r="K24" s="126">
        <v>1</v>
      </c>
      <c r="L24" s="126">
        <v>1</v>
      </c>
      <c r="M24" s="126"/>
      <c r="N24" s="126"/>
      <c r="O24" s="126"/>
      <c r="P24" s="126"/>
      <c r="Q24" s="126"/>
      <c r="R24" s="126"/>
      <c r="S24" s="126"/>
      <c r="T24" s="127"/>
      <c r="U24" s="126"/>
      <c r="V24" s="52"/>
      <c r="W24" s="17">
        <f t="shared" si="3"/>
        <v>2</v>
      </c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7">
        <f>SUM(X24:AI24)</f>
        <v>0</v>
      </c>
    </row>
    <row r="25" spans="1:39" ht="15" thickBot="1">
      <c r="A25" s="196" t="s">
        <v>200</v>
      </c>
      <c r="B25" s="197"/>
      <c r="C25" s="45">
        <f>+D25/Metas!M30</f>
        <v>0.8784182362111826</v>
      </c>
      <c r="D25" s="19">
        <f>+F25/AK25</f>
        <v>0.4392091181055913</v>
      </c>
      <c r="E25" s="14">
        <f aca="true" t="shared" si="5" ref="E25:K25">SUM(E12:E24)</f>
        <v>8288</v>
      </c>
      <c r="F25" s="14">
        <f t="shared" si="5"/>
        <v>8339</v>
      </c>
      <c r="G25" s="14">
        <f t="shared" si="5"/>
        <v>0</v>
      </c>
      <c r="H25" s="14">
        <f t="shared" si="5"/>
        <v>0</v>
      </c>
      <c r="I25" s="14">
        <f>SUM(I12:I24)</f>
        <v>0</v>
      </c>
      <c r="J25" s="14">
        <f t="shared" si="5"/>
        <v>0</v>
      </c>
      <c r="K25" s="14">
        <f t="shared" si="5"/>
        <v>51</v>
      </c>
      <c r="L25" s="14">
        <f aca="true" t="shared" si="6" ref="L25:V25">SUM(L12:L24)</f>
        <v>62</v>
      </c>
      <c r="M25" s="14">
        <f t="shared" si="6"/>
        <v>0</v>
      </c>
      <c r="N25" s="14">
        <f t="shared" si="6"/>
        <v>0</v>
      </c>
      <c r="O25" s="14">
        <f t="shared" si="6"/>
        <v>0</v>
      </c>
      <c r="P25" s="14">
        <f t="shared" si="6"/>
        <v>0</v>
      </c>
      <c r="Q25" s="14">
        <f t="shared" si="6"/>
        <v>0</v>
      </c>
      <c r="R25" s="14">
        <f t="shared" si="6"/>
        <v>0</v>
      </c>
      <c r="S25" s="14">
        <f t="shared" si="6"/>
        <v>0</v>
      </c>
      <c r="T25" s="14">
        <f t="shared" si="6"/>
        <v>0</v>
      </c>
      <c r="U25" s="14">
        <f t="shared" si="6"/>
        <v>0</v>
      </c>
      <c r="V25" s="14">
        <f t="shared" si="6"/>
        <v>0</v>
      </c>
      <c r="W25" s="14">
        <f aca="true" t="shared" si="7" ref="W25:W75">SUM(K25:V25)</f>
        <v>113</v>
      </c>
      <c r="X25" s="14">
        <f aca="true" t="shared" si="8" ref="X25:AI25">SUM(X12:X24)</f>
        <v>17</v>
      </c>
      <c r="Y25" s="14">
        <f t="shared" si="8"/>
        <v>45</v>
      </c>
      <c r="Z25" s="14">
        <f t="shared" si="8"/>
        <v>0</v>
      </c>
      <c r="AA25" s="14">
        <f t="shared" si="8"/>
        <v>0</v>
      </c>
      <c r="AB25" s="14">
        <f t="shared" si="8"/>
        <v>0</v>
      </c>
      <c r="AC25" s="14">
        <f t="shared" si="8"/>
        <v>0</v>
      </c>
      <c r="AD25" s="14">
        <f t="shared" si="8"/>
        <v>0</v>
      </c>
      <c r="AE25" s="14">
        <f t="shared" si="8"/>
        <v>0</v>
      </c>
      <c r="AF25" s="14">
        <f t="shared" si="8"/>
        <v>0</v>
      </c>
      <c r="AG25" s="14">
        <f t="shared" si="8"/>
        <v>0</v>
      </c>
      <c r="AH25" s="14">
        <f t="shared" si="8"/>
        <v>0</v>
      </c>
      <c r="AI25" s="14">
        <f t="shared" si="8"/>
        <v>0</v>
      </c>
      <c r="AJ25" s="14">
        <f aca="true" t="shared" si="9" ref="AJ25:AJ75">SUM(X25:AI25)</f>
        <v>62</v>
      </c>
      <c r="AK25" s="14">
        <f>+AL25+AM25</f>
        <v>18986.4</v>
      </c>
      <c r="AL25" s="14">
        <f>132989*0.1</f>
        <v>13298.900000000001</v>
      </c>
      <c r="AM25" s="14">
        <f>22750*0.25</f>
        <v>5687.5</v>
      </c>
    </row>
    <row r="26" spans="1:36" ht="15" thickBot="1">
      <c r="A26" s="110" t="s">
        <v>79</v>
      </c>
      <c r="B26" s="103" t="s">
        <v>80</v>
      </c>
      <c r="C26" s="63"/>
      <c r="D26" s="63"/>
      <c r="E26" s="17">
        <v>1629</v>
      </c>
      <c r="F26" s="49">
        <f aca="true" t="shared" si="10" ref="F26:F35">+E26+(K26+L26+M26)-(X26+Y26+Z26)</f>
        <v>1664</v>
      </c>
      <c r="G26" s="17"/>
      <c r="H26" s="61">
        <f t="shared" si="2"/>
        <v>0</v>
      </c>
      <c r="I26" s="50">
        <f aca="true" t="shared" si="11" ref="I26:I35">+G26+(Q26+R26+S26+T26)-(AD26+AE26+AF26+AG26)</f>
        <v>0</v>
      </c>
      <c r="J26" s="51"/>
      <c r="K26" s="126">
        <v>19</v>
      </c>
      <c r="L26" s="126">
        <v>22</v>
      </c>
      <c r="M26" s="126"/>
      <c r="N26" s="126"/>
      <c r="O26" s="126"/>
      <c r="P26" s="126"/>
      <c r="Q26" s="126"/>
      <c r="R26" s="126"/>
      <c r="S26" s="126"/>
      <c r="T26" s="127"/>
      <c r="U26" s="126"/>
      <c r="V26" s="52"/>
      <c r="W26" s="17">
        <f t="shared" si="7"/>
        <v>41</v>
      </c>
      <c r="X26" s="52">
        <v>4</v>
      </c>
      <c r="Y26" s="52">
        <v>2</v>
      </c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17">
        <f t="shared" si="9"/>
        <v>6</v>
      </c>
    </row>
    <row r="27" spans="1:36" ht="15" thickBot="1">
      <c r="A27" s="110" t="s">
        <v>79</v>
      </c>
      <c r="B27" s="103" t="s">
        <v>81</v>
      </c>
      <c r="C27" s="63"/>
      <c r="D27" s="63"/>
      <c r="E27" s="17">
        <v>1264</v>
      </c>
      <c r="F27" s="49">
        <f t="shared" si="10"/>
        <v>1267</v>
      </c>
      <c r="G27" s="17"/>
      <c r="H27" s="61">
        <f t="shared" si="2"/>
        <v>0</v>
      </c>
      <c r="I27" s="50">
        <f t="shared" si="11"/>
        <v>0</v>
      </c>
      <c r="J27" s="51"/>
      <c r="K27" s="126">
        <v>4</v>
      </c>
      <c r="L27" s="126">
        <v>10</v>
      </c>
      <c r="M27" s="126"/>
      <c r="N27" s="126"/>
      <c r="O27" s="126"/>
      <c r="P27" s="126"/>
      <c r="Q27" s="126"/>
      <c r="R27" s="126"/>
      <c r="S27" s="126"/>
      <c r="T27" s="127"/>
      <c r="U27" s="126"/>
      <c r="V27" s="52"/>
      <c r="W27" s="17">
        <f t="shared" si="7"/>
        <v>14</v>
      </c>
      <c r="X27" s="52">
        <v>7</v>
      </c>
      <c r="Y27" s="52">
        <v>4</v>
      </c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17">
        <f t="shared" si="9"/>
        <v>11</v>
      </c>
    </row>
    <row r="28" spans="1:36" ht="15" thickBot="1">
      <c r="A28" s="110" t="s">
        <v>79</v>
      </c>
      <c r="B28" s="103" t="s">
        <v>82</v>
      </c>
      <c r="C28" s="63"/>
      <c r="D28" s="63"/>
      <c r="E28" s="17">
        <v>3038</v>
      </c>
      <c r="F28" s="49">
        <f t="shared" si="10"/>
        <v>3080</v>
      </c>
      <c r="G28" s="17"/>
      <c r="H28" s="61">
        <f t="shared" si="2"/>
        <v>0</v>
      </c>
      <c r="I28" s="50">
        <f t="shared" si="11"/>
        <v>0</v>
      </c>
      <c r="J28" s="51"/>
      <c r="K28" s="126">
        <v>24</v>
      </c>
      <c r="L28" s="126">
        <v>31</v>
      </c>
      <c r="M28" s="126"/>
      <c r="N28" s="126"/>
      <c r="O28" s="126"/>
      <c r="P28" s="126"/>
      <c r="Q28" s="126"/>
      <c r="R28" s="126"/>
      <c r="S28" s="126"/>
      <c r="T28" s="127"/>
      <c r="U28" s="126"/>
      <c r="V28" s="52"/>
      <c r="W28" s="17">
        <f t="shared" si="7"/>
        <v>55</v>
      </c>
      <c r="X28" s="52">
        <v>12</v>
      </c>
      <c r="Y28" s="52">
        <v>1</v>
      </c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17">
        <f t="shared" si="9"/>
        <v>13</v>
      </c>
    </row>
    <row r="29" spans="1:36" ht="15" thickBot="1">
      <c r="A29" s="110" t="s">
        <v>79</v>
      </c>
      <c r="B29" s="103" t="s">
        <v>83</v>
      </c>
      <c r="C29" s="63"/>
      <c r="D29" s="63"/>
      <c r="E29" s="17">
        <v>282</v>
      </c>
      <c r="F29" s="49">
        <f t="shared" si="10"/>
        <v>280</v>
      </c>
      <c r="G29" s="17"/>
      <c r="H29" s="61">
        <f t="shared" si="2"/>
        <v>0</v>
      </c>
      <c r="I29" s="50">
        <f t="shared" si="11"/>
        <v>0</v>
      </c>
      <c r="J29" s="51"/>
      <c r="K29" s="126"/>
      <c r="L29" s="126"/>
      <c r="M29" s="126"/>
      <c r="N29" s="126"/>
      <c r="O29" s="126"/>
      <c r="P29" s="126"/>
      <c r="Q29" s="126"/>
      <c r="R29" s="126"/>
      <c r="S29" s="126"/>
      <c r="T29" s="127"/>
      <c r="U29" s="126"/>
      <c r="V29" s="52"/>
      <c r="W29" s="17">
        <f t="shared" si="7"/>
        <v>0</v>
      </c>
      <c r="X29" s="52"/>
      <c r="Y29" s="52">
        <v>2</v>
      </c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17">
        <f t="shared" si="9"/>
        <v>2</v>
      </c>
    </row>
    <row r="30" spans="1:36" ht="15" thickBot="1">
      <c r="A30" s="110" t="s">
        <v>79</v>
      </c>
      <c r="B30" s="103" t="s">
        <v>84</v>
      </c>
      <c r="C30" s="63"/>
      <c r="D30" s="63"/>
      <c r="E30" s="17">
        <v>2219</v>
      </c>
      <c r="F30" s="49">
        <f t="shared" si="10"/>
        <v>2251</v>
      </c>
      <c r="G30" s="17"/>
      <c r="H30" s="61">
        <f t="shared" si="2"/>
        <v>0</v>
      </c>
      <c r="I30" s="50">
        <f t="shared" si="11"/>
        <v>0</v>
      </c>
      <c r="J30" s="51"/>
      <c r="K30" s="126">
        <v>26</v>
      </c>
      <c r="L30" s="126">
        <v>26</v>
      </c>
      <c r="M30" s="126"/>
      <c r="N30" s="126"/>
      <c r="O30" s="126"/>
      <c r="P30" s="126"/>
      <c r="Q30" s="126"/>
      <c r="R30" s="126"/>
      <c r="S30" s="126"/>
      <c r="T30" s="127"/>
      <c r="U30" s="126"/>
      <c r="V30" s="52"/>
      <c r="W30" s="17">
        <f t="shared" si="7"/>
        <v>52</v>
      </c>
      <c r="X30" s="52"/>
      <c r="Y30" s="52">
        <v>20</v>
      </c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17">
        <f t="shared" si="9"/>
        <v>20</v>
      </c>
    </row>
    <row r="31" spans="1:36" ht="15" thickBot="1">
      <c r="A31" s="110" t="s">
        <v>79</v>
      </c>
      <c r="B31" s="103" t="s">
        <v>85</v>
      </c>
      <c r="C31" s="63"/>
      <c r="D31" s="63"/>
      <c r="E31" s="17">
        <v>103</v>
      </c>
      <c r="F31" s="49">
        <f t="shared" si="10"/>
        <v>103</v>
      </c>
      <c r="G31" s="17"/>
      <c r="H31" s="61">
        <f t="shared" si="2"/>
        <v>0</v>
      </c>
      <c r="I31" s="50">
        <f t="shared" si="11"/>
        <v>0</v>
      </c>
      <c r="J31" s="51"/>
      <c r="K31" s="126"/>
      <c r="L31" s="126"/>
      <c r="M31" s="126"/>
      <c r="N31" s="126"/>
      <c r="O31" s="126"/>
      <c r="P31" s="126"/>
      <c r="Q31" s="126"/>
      <c r="R31" s="126"/>
      <c r="S31" s="126"/>
      <c r="T31" s="127"/>
      <c r="U31" s="126"/>
      <c r="V31" s="52"/>
      <c r="W31" s="17">
        <f t="shared" si="7"/>
        <v>0</v>
      </c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17">
        <f t="shared" si="9"/>
        <v>0</v>
      </c>
    </row>
    <row r="32" spans="1:36" ht="15" thickBot="1">
      <c r="A32" s="110" t="s">
        <v>79</v>
      </c>
      <c r="B32" s="103" t="s">
        <v>86</v>
      </c>
      <c r="C32" s="63"/>
      <c r="D32" s="63"/>
      <c r="E32" s="17">
        <v>99</v>
      </c>
      <c r="F32" s="49">
        <f t="shared" si="10"/>
        <v>100</v>
      </c>
      <c r="G32" s="17"/>
      <c r="H32" s="61">
        <f t="shared" si="2"/>
        <v>0</v>
      </c>
      <c r="I32" s="50">
        <f t="shared" si="11"/>
        <v>0</v>
      </c>
      <c r="J32" s="51"/>
      <c r="K32" s="126">
        <v>1</v>
      </c>
      <c r="L32" s="126">
        <v>1</v>
      </c>
      <c r="M32" s="126"/>
      <c r="N32" s="126"/>
      <c r="O32" s="126"/>
      <c r="P32" s="126"/>
      <c r="Q32" s="126"/>
      <c r="R32" s="126"/>
      <c r="S32" s="126"/>
      <c r="T32" s="127"/>
      <c r="U32" s="126"/>
      <c r="V32" s="52"/>
      <c r="W32" s="17">
        <f t="shared" si="7"/>
        <v>2</v>
      </c>
      <c r="X32" s="52">
        <v>1</v>
      </c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17">
        <f t="shared" si="9"/>
        <v>1</v>
      </c>
    </row>
    <row r="33" spans="1:36" ht="15" thickBot="1">
      <c r="A33" s="110" t="s">
        <v>79</v>
      </c>
      <c r="B33" s="103" t="s">
        <v>87</v>
      </c>
      <c r="C33" s="63"/>
      <c r="D33" s="63"/>
      <c r="E33" s="17">
        <v>314</v>
      </c>
      <c r="F33" s="49">
        <f t="shared" si="10"/>
        <v>319</v>
      </c>
      <c r="G33" s="17"/>
      <c r="H33" s="61">
        <f t="shared" si="2"/>
        <v>0</v>
      </c>
      <c r="I33" s="50">
        <f t="shared" si="11"/>
        <v>0</v>
      </c>
      <c r="J33" s="51"/>
      <c r="K33" s="126">
        <v>2</v>
      </c>
      <c r="L33" s="126">
        <v>4</v>
      </c>
      <c r="M33" s="126"/>
      <c r="N33" s="126"/>
      <c r="O33" s="126"/>
      <c r="P33" s="126"/>
      <c r="Q33" s="126"/>
      <c r="R33" s="126"/>
      <c r="S33" s="126"/>
      <c r="T33" s="127"/>
      <c r="U33" s="126"/>
      <c r="V33" s="52"/>
      <c r="W33" s="17">
        <f t="shared" si="7"/>
        <v>6</v>
      </c>
      <c r="X33" s="52">
        <v>1</v>
      </c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17">
        <f t="shared" si="9"/>
        <v>1</v>
      </c>
    </row>
    <row r="34" spans="1:36" ht="15" thickBot="1">
      <c r="A34" s="110" t="s">
        <v>79</v>
      </c>
      <c r="B34" s="103" t="s">
        <v>88</v>
      </c>
      <c r="C34" s="63"/>
      <c r="D34" s="63"/>
      <c r="E34" s="17">
        <v>45</v>
      </c>
      <c r="F34" s="49">
        <f t="shared" si="10"/>
        <v>46</v>
      </c>
      <c r="G34" s="17"/>
      <c r="H34" s="61">
        <f t="shared" si="2"/>
        <v>0</v>
      </c>
      <c r="I34" s="50">
        <f t="shared" si="11"/>
        <v>0</v>
      </c>
      <c r="J34" s="51"/>
      <c r="K34" s="126"/>
      <c r="L34" s="126">
        <v>1</v>
      </c>
      <c r="M34" s="126"/>
      <c r="N34" s="126"/>
      <c r="O34" s="126"/>
      <c r="P34" s="126"/>
      <c r="Q34" s="126"/>
      <c r="R34" s="126"/>
      <c r="S34" s="126"/>
      <c r="T34" s="127"/>
      <c r="U34" s="126"/>
      <c r="V34" s="52"/>
      <c r="W34" s="17">
        <f t="shared" si="7"/>
        <v>1</v>
      </c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17">
        <f t="shared" si="9"/>
        <v>0</v>
      </c>
    </row>
    <row r="35" spans="1:36" ht="15" thickBot="1">
      <c r="A35" s="110" t="s">
        <v>79</v>
      </c>
      <c r="B35" s="103" t="s">
        <v>89</v>
      </c>
      <c r="C35" s="63"/>
      <c r="D35" s="63"/>
      <c r="E35" s="17">
        <v>101</v>
      </c>
      <c r="F35" s="49">
        <f t="shared" si="10"/>
        <v>108</v>
      </c>
      <c r="G35" s="17"/>
      <c r="H35" s="61">
        <f t="shared" si="2"/>
        <v>0</v>
      </c>
      <c r="I35" s="50">
        <f t="shared" si="11"/>
        <v>0</v>
      </c>
      <c r="J35" s="51"/>
      <c r="K35" s="121">
        <v>3</v>
      </c>
      <c r="L35" s="121">
        <v>4</v>
      </c>
      <c r="M35" s="121"/>
      <c r="N35" s="121"/>
      <c r="O35" s="121"/>
      <c r="P35" s="121"/>
      <c r="Q35" s="121"/>
      <c r="R35" s="121"/>
      <c r="S35" s="121"/>
      <c r="T35" s="127"/>
      <c r="U35" s="126"/>
      <c r="V35" s="52"/>
      <c r="W35" s="17">
        <f t="shared" si="7"/>
        <v>7</v>
      </c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17">
        <f t="shared" si="9"/>
        <v>0</v>
      </c>
    </row>
    <row r="36" spans="1:39" ht="15" thickBot="1">
      <c r="A36" s="196" t="s">
        <v>201</v>
      </c>
      <c r="B36" s="197"/>
      <c r="C36" s="45">
        <f>+D36/Metas!M28</f>
        <v>0.9777583315102457</v>
      </c>
      <c r="D36" s="19">
        <f>+F36/AK36</f>
        <v>0.5377670823306352</v>
      </c>
      <c r="E36" s="14">
        <f aca="true" t="shared" si="12" ref="E36:V36">SUM(E26:E35)</f>
        <v>9094</v>
      </c>
      <c r="F36" s="14">
        <f t="shared" si="12"/>
        <v>9218</v>
      </c>
      <c r="G36" s="14">
        <f t="shared" si="12"/>
        <v>0</v>
      </c>
      <c r="H36" s="14">
        <f t="shared" si="12"/>
        <v>0</v>
      </c>
      <c r="I36" s="14">
        <f>SUM(I26:I35)</f>
        <v>0</v>
      </c>
      <c r="J36" s="14">
        <f t="shared" si="12"/>
        <v>0</v>
      </c>
      <c r="K36" s="14">
        <f t="shared" si="12"/>
        <v>79</v>
      </c>
      <c r="L36" s="14">
        <f t="shared" si="12"/>
        <v>99</v>
      </c>
      <c r="M36" s="14">
        <f t="shared" si="12"/>
        <v>0</v>
      </c>
      <c r="N36" s="14">
        <f t="shared" si="12"/>
        <v>0</v>
      </c>
      <c r="O36" s="14">
        <f t="shared" si="12"/>
        <v>0</v>
      </c>
      <c r="P36" s="14">
        <f t="shared" si="12"/>
        <v>0</v>
      </c>
      <c r="Q36" s="14">
        <f t="shared" si="12"/>
        <v>0</v>
      </c>
      <c r="R36" s="14">
        <f t="shared" si="12"/>
        <v>0</v>
      </c>
      <c r="S36" s="14">
        <f t="shared" si="12"/>
        <v>0</v>
      </c>
      <c r="T36" s="14">
        <f t="shared" si="12"/>
        <v>0</v>
      </c>
      <c r="U36" s="14">
        <f t="shared" si="12"/>
        <v>0</v>
      </c>
      <c r="V36" s="14">
        <f t="shared" si="12"/>
        <v>0</v>
      </c>
      <c r="W36" s="14">
        <f t="shared" si="7"/>
        <v>178</v>
      </c>
      <c r="X36" s="14">
        <f aca="true" t="shared" si="13" ref="X36:AI36">SUM(X26:X35)</f>
        <v>25</v>
      </c>
      <c r="Y36" s="14">
        <f t="shared" si="13"/>
        <v>29</v>
      </c>
      <c r="Z36" s="14">
        <f t="shared" si="13"/>
        <v>0</v>
      </c>
      <c r="AA36" s="14">
        <f t="shared" si="13"/>
        <v>0</v>
      </c>
      <c r="AB36" s="14">
        <f t="shared" si="13"/>
        <v>0</v>
      </c>
      <c r="AC36" s="14">
        <f t="shared" si="13"/>
        <v>0</v>
      </c>
      <c r="AD36" s="14">
        <f t="shared" si="13"/>
        <v>0</v>
      </c>
      <c r="AE36" s="14">
        <f t="shared" si="13"/>
        <v>0</v>
      </c>
      <c r="AF36" s="14">
        <f t="shared" si="13"/>
        <v>0</v>
      </c>
      <c r="AG36" s="14">
        <f t="shared" si="13"/>
        <v>0</v>
      </c>
      <c r="AH36" s="14">
        <f t="shared" si="13"/>
        <v>0</v>
      </c>
      <c r="AI36" s="14">
        <f t="shared" si="13"/>
        <v>0</v>
      </c>
      <c r="AJ36" s="14">
        <f t="shared" si="9"/>
        <v>54</v>
      </c>
      <c r="AK36" s="14">
        <f>+AL36+AM36</f>
        <v>17141.25</v>
      </c>
      <c r="AL36" s="14">
        <f>119860*0.1</f>
        <v>11986</v>
      </c>
      <c r="AM36" s="14">
        <f>20621*0.25</f>
        <v>5155.25</v>
      </c>
    </row>
    <row r="37" spans="1:36" ht="15" thickBot="1">
      <c r="A37" s="110" t="s">
        <v>100</v>
      </c>
      <c r="B37" s="103" t="s">
        <v>90</v>
      </c>
      <c r="C37" s="63"/>
      <c r="D37" s="63"/>
      <c r="E37" s="17">
        <v>81</v>
      </c>
      <c r="F37" s="49">
        <f aca="true" t="shared" si="14" ref="F37:F46">+E37+(K37+L37+M37)-(X37+Y37+Z37)</f>
        <v>81</v>
      </c>
      <c r="G37" s="17"/>
      <c r="H37" s="61">
        <f t="shared" si="2"/>
        <v>0</v>
      </c>
      <c r="I37" s="50">
        <f aca="true" t="shared" si="15" ref="I37:I46">+G37+(Q37+R37+S37+T37)-(AD37+AE37+AF37+AG37)</f>
        <v>0</v>
      </c>
      <c r="J37" s="51"/>
      <c r="K37" s="126"/>
      <c r="L37" s="126"/>
      <c r="M37" s="126"/>
      <c r="N37" s="126"/>
      <c r="O37" s="126"/>
      <c r="P37" s="126"/>
      <c r="Q37" s="126"/>
      <c r="R37" s="126"/>
      <c r="S37" s="126"/>
      <c r="T37" s="127"/>
      <c r="U37" s="126"/>
      <c r="V37" s="126"/>
      <c r="W37" s="17">
        <f t="shared" si="7"/>
        <v>0</v>
      </c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7">
        <f t="shared" si="9"/>
        <v>0</v>
      </c>
    </row>
    <row r="38" spans="1:36" ht="15" thickBot="1">
      <c r="A38" s="110" t="s">
        <v>100</v>
      </c>
      <c r="B38" s="103" t="s">
        <v>91</v>
      </c>
      <c r="C38" s="63"/>
      <c r="D38" s="63"/>
      <c r="E38" s="17">
        <v>36</v>
      </c>
      <c r="F38" s="49">
        <f t="shared" si="14"/>
        <v>36</v>
      </c>
      <c r="G38" s="17"/>
      <c r="H38" s="61">
        <f t="shared" si="2"/>
        <v>0</v>
      </c>
      <c r="I38" s="50">
        <f t="shared" si="15"/>
        <v>0</v>
      </c>
      <c r="J38" s="51"/>
      <c r="K38" s="126"/>
      <c r="L38" s="126"/>
      <c r="M38" s="126"/>
      <c r="N38" s="126"/>
      <c r="O38" s="126"/>
      <c r="P38" s="126"/>
      <c r="Q38" s="126"/>
      <c r="R38" s="126"/>
      <c r="S38" s="126"/>
      <c r="T38" s="127"/>
      <c r="U38" s="126"/>
      <c r="V38" s="126"/>
      <c r="W38" s="17">
        <f t="shared" si="7"/>
        <v>0</v>
      </c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7">
        <f t="shared" si="9"/>
        <v>0</v>
      </c>
    </row>
    <row r="39" spans="1:36" ht="15" thickBot="1">
      <c r="A39" s="110" t="s">
        <v>100</v>
      </c>
      <c r="B39" s="103" t="s">
        <v>92</v>
      </c>
      <c r="C39" s="63"/>
      <c r="D39" s="63"/>
      <c r="E39" s="17">
        <v>67</v>
      </c>
      <c r="F39" s="49">
        <f t="shared" si="14"/>
        <v>67</v>
      </c>
      <c r="G39" s="17"/>
      <c r="H39" s="61">
        <f t="shared" si="2"/>
        <v>0</v>
      </c>
      <c r="I39" s="50">
        <f t="shared" si="15"/>
        <v>0</v>
      </c>
      <c r="J39" s="51"/>
      <c r="K39" s="126"/>
      <c r="L39" s="126"/>
      <c r="M39" s="126"/>
      <c r="N39" s="126"/>
      <c r="O39" s="126"/>
      <c r="P39" s="126"/>
      <c r="Q39" s="126"/>
      <c r="R39" s="126"/>
      <c r="S39" s="126"/>
      <c r="T39" s="127"/>
      <c r="U39" s="126"/>
      <c r="V39" s="126"/>
      <c r="W39" s="17">
        <f t="shared" si="7"/>
        <v>0</v>
      </c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7">
        <f t="shared" si="9"/>
        <v>0</v>
      </c>
    </row>
    <row r="40" spans="1:36" ht="15" thickBot="1">
      <c r="A40" s="110" t="s">
        <v>100</v>
      </c>
      <c r="B40" s="103" t="s">
        <v>93</v>
      </c>
      <c r="C40" s="63"/>
      <c r="D40" s="63"/>
      <c r="E40" s="17">
        <v>6</v>
      </c>
      <c r="F40" s="49">
        <f t="shared" si="14"/>
        <v>6</v>
      </c>
      <c r="G40" s="17"/>
      <c r="H40" s="61">
        <f t="shared" si="2"/>
        <v>0</v>
      </c>
      <c r="I40" s="50">
        <f t="shared" si="15"/>
        <v>0</v>
      </c>
      <c r="J40" s="51"/>
      <c r="K40" s="126"/>
      <c r="L40" s="126"/>
      <c r="M40" s="126"/>
      <c r="N40" s="126"/>
      <c r="O40" s="126"/>
      <c r="P40" s="126"/>
      <c r="Q40" s="126"/>
      <c r="R40" s="126"/>
      <c r="S40" s="126"/>
      <c r="T40" s="127"/>
      <c r="U40" s="126"/>
      <c r="V40" s="126"/>
      <c r="W40" s="17">
        <f t="shared" si="7"/>
        <v>0</v>
      </c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7">
        <f t="shared" si="9"/>
        <v>0</v>
      </c>
    </row>
    <row r="41" spans="1:36" ht="15" thickBot="1">
      <c r="A41" s="110" t="s">
        <v>100</v>
      </c>
      <c r="B41" s="103" t="s">
        <v>94</v>
      </c>
      <c r="C41" s="63"/>
      <c r="D41" s="63"/>
      <c r="E41" s="17">
        <v>119</v>
      </c>
      <c r="F41" s="49">
        <f t="shared" si="14"/>
        <v>119</v>
      </c>
      <c r="G41" s="17"/>
      <c r="H41" s="61">
        <f t="shared" si="2"/>
        <v>0</v>
      </c>
      <c r="I41" s="50">
        <f t="shared" si="15"/>
        <v>0</v>
      </c>
      <c r="J41" s="51"/>
      <c r="K41" s="126"/>
      <c r="L41" s="126"/>
      <c r="M41" s="126"/>
      <c r="N41" s="126"/>
      <c r="O41" s="126"/>
      <c r="P41" s="126"/>
      <c r="Q41" s="126"/>
      <c r="R41" s="126"/>
      <c r="S41" s="126"/>
      <c r="T41" s="127"/>
      <c r="U41" s="126"/>
      <c r="V41" s="126"/>
      <c r="W41" s="17">
        <f t="shared" si="7"/>
        <v>0</v>
      </c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7">
        <f t="shared" si="9"/>
        <v>0</v>
      </c>
    </row>
    <row r="42" spans="1:36" ht="15" thickBot="1">
      <c r="A42" s="110" t="s">
        <v>100</v>
      </c>
      <c r="B42" s="103" t="s">
        <v>95</v>
      </c>
      <c r="C42" s="63"/>
      <c r="D42" s="63"/>
      <c r="E42" s="17">
        <v>48</v>
      </c>
      <c r="F42" s="49">
        <f t="shared" si="14"/>
        <v>49</v>
      </c>
      <c r="G42" s="17"/>
      <c r="H42" s="61">
        <f t="shared" si="2"/>
        <v>0</v>
      </c>
      <c r="I42" s="50">
        <f t="shared" si="15"/>
        <v>0</v>
      </c>
      <c r="J42" s="51"/>
      <c r="K42" s="126">
        <v>1</v>
      </c>
      <c r="L42" s="126"/>
      <c r="M42" s="126"/>
      <c r="N42" s="126"/>
      <c r="O42" s="126"/>
      <c r="P42" s="126"/>
      <c r="Q42" s="126"/>
      <c r="R42" s="126"/>
      <c r="S42" s="126"/>
      <c r="T42" s="127"/>
      <c r="U42" s="126"/>
      <c r="V42" s="126"/>
      <c r="W42" s="17">
        <f t="shared" si="7"/>
        <v>1</v>
      </c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7">
        <f t="shared" si="9"/>
        <v>0</v>
      </c>
    </row>
    <row r="43" spans="1:36" ht="15" thickBot="1">
      <c r="A43" s="110" t="s">
        <v>100</v>
      </c>
      <c r="B43" s="103" t="s">
        <v>96</v>
      </c>
      <c r="C43" s="63"/>
      <c r="D43" s="63"/>
      <c r="E43" s="17">
        <v>43</v>
      </c>
      <c r="F43" s="49">
        <f t="shared" si="14"/>
        <v>43</v>
      </c>
      <c r="G43" s="17"/>
      <c r="H43" s="61">
        <f t="shared" si="2"/>
        <v>0</v>
      </c>
      <c r="I43" s="50">
        <f t="shared" si="15"/>
        <v>0</v>
      </c>
      <c r="J43" s="51"/>
      <c r="K43" s="126"/>
      <c r="L43" s="126"/>
      <c r="M43" s="126"/>
      <c r="N43" s="126"/>
      <c r="O43" s="126"/>
      <c r="P43" s="126"/>
      <c r="Q43" s="126"/>
      <c r="R43" s="126"/>
      <c r="S43" s="126"/>
      <c r="T43" s="127"/>
      <c r="U43" s="126"/>
      <c r="V43" s="126"/>
      <c r="W43" s="17">
        <f t="shared" si="7"/>
        <v>0</v>
      </c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7">
        <f t="shared" si="9"/>
        <v>0</v>
      </c>
    </row>
    <row r="44" spans="1:36" ht="15" thickBot="1">
      <c r="A44" s="110" t="s">
        <v>100</v>
      </c>
      <c r="B44" s="103" t="s">
        <v>97</v>
      </c>
      <c r="C44" s="63"/>
      <c r="D44" s="63"/>
      <c r="E44" s="17">
        <v>22</v>
      </c>
      <c r="F44" s="49">
        <f t="shared" si="14"/>
        <v>22</v>
      </c>
      <c r="G44" s="17"/>
      <c r="H44" s="61">
        <f t="shared" si="2"/>
        <v>0</v>
      </c>
      <c r="I44" s="50">
        <f t="shared" si="15"/>
        <v>0</v>
      </c>
      <c r="J44" s="51"/>
      <c r="K44" s="126"/>
      <c r="L44" s="126"/>
      <c r="M44" s="126"/>
      <c r="N44" s="126"/>
      <c r="O44" s="126"/>
      <c r="P44" s="126"/>
      <c r="Q44" s="126"/>
      <c r="R44" s="126"/>
      <c r="S44" s="126"/>
      <c r="T44" s="127"/>
      <c r="U44" s="126"/>
      <c r="V44" s="126"/>
      <c r="W44" s="17">
        <f t="shared" si="7"/>
        <v>0</v>
      </c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7">
        <f t="shared" si="9"/>
        <v>0</v>
      </c>
    </row>
    <row r="45" spans="1:36" ht="15" thickBot="1">
      <c r="A45" s="110" t="s">
        <v>100</v>
      </c>
      <c r="B45" s="103" t="s">
        <v>98</v>
      </c>
      <c r="C45" s="63"/>
      <c r="D45" s="63"/>
      <c r="E45" s="17">
        <v>161</v>
      </c>
      <c r="F45" s="49">
        <f t="shared" si="14"/>
        <v>163</v>
      </c>
      <c r="G45" s="17"/>
      <c r="H45" s="61">
        <f t="shared" si="2"/>
        <v>0</v>
      </c>
      <c r="I45" s="50">
        <f t="shared" si="15"/>
        <v>0</v>
      </c>
      <c r="J45" s="51"/>
      <c r="K45" s="126">
        <v>1</v>
      </c>
      <c r="L45" s="126">
        <v>1</v>
      </c>
      <c r="M45" s="126"/>
      <c r="N45" s="126"/>
      <c r="O45" s="126"/>
      <c r="P45" s="126"/>
      <c r="Q45" s="126"/>
      <c r="R45" s="126"/>
      <c r="S45" s="126"/>
      <c r="T45" s="127"/>
      <c r="U45" s="126"/>
      <c r="V45" s="126"/>
      <c r="W45" s="17">
        <f t="shared" si="7"/>
        <v>2</v>
      </c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7">
        <f t="shared" si="9"/>
        <v>0</v>
      </c>
    </row>
    <row r="46" spans="1:36" ht="15" thickBot="1">
      <c r="A46" s="110" t="s">
        <v>100</v>
      </c>
      <c r="B46" s="103" t="s">
        <v>99</v>
      </c>
      <c r="C46" s="63"/>
      <c r="D46" s="63"/>
      <c r="E46" s="17">
        <v>27</v>
      </c>
      <c r="F46" s="49">
        <f t="shared" si="14"/>
        <v>27</v>
      </c>
      <c r="G46" s="17"/>
      <c r="H46" s="61">
        <f t="shared" si="2"/>
        <v>0</v>
      </c>
      <c r="I46" s="50">
        <f t="shared" si="15"/>
        <v>0</v>
      </c>
      <c r="J46" s="51"/>
      <c r="K46" s="126"/>
      <c r="L46" s="126"/>
      <c r="M46" s="126"/>
      <c r="N46" s="126"/>
      <c r="O46" s="126"/>
      <c r="P46" s="126"/>
      <c r="Q46" s="126"/>
      <c r="R46" s="126"/>
      <c r="S46" s="126"/>
      <c r="T46" s="127"/>
      <c r="U46" s="126"/>
      <c r="V46" s="126"/>
      <c r="W46" s="17">
        <f t="shared" si="7"/>
        <v>0</v>
      </c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7">
        <f t="shared" si="9"/>
        <v>0</v>
      </c>
    </row>
    <row r="47" spans="1:39" ht="24" customHeight="1" thickBot="1">
      <c r="A47" s="196" t="s">
        <v>202</v>
      </c>
      <c r="B47" s="197"/>
      <c r="C47" s="45">
        <f>+D47/Metas!M37</f>
        <v>1.0031912282137303</v>
      </c>
      <c r="D47" s="19">
        <f>+F47/AK47</f>
        <v>0.5517551755175517</v>
      </c>
      <c r="E47" s="14">
        <f aca="true" t="shared" si="16" ref="E47:K47">SUM(E37:E46)</f>
        <v>610</v>
      </c>
      <c r="F47" s="14">
        <f t="shared" si="16"/>
        <v>613</v>
      </c>
      <c r="G47" s="14">
        <f t="shared" si="16"/>
        <v>0</v>
      </c>
      <c r="H47" s="14">
        <f t="shared" si="16"/>
        <v>0</v>
      </c>
      <c r="I47" s="14">
        <f>SUM(I37:I46)</f>
        <v>0</v>
      </c>
      <c r="J47" s="14">
        <f t="shared" si="16"/>
        <v>0</v>
      </c>
      <c r="K47" s="14">
        <f t="shared" si="16"/>
        <v>2</v>
      </c>
      <c r="L47" s="14">
        <f aca="true" t="shared" si="17" ref="L47:V47">SUM(L37:L46)</f>
        <v>1</v>
      </c>
      <c r="M47" s="14">
        <f t="shared" si="17"/>
        <v>0</v>
      </c>
      <c r="N47" s="14">
        <f t="shared" si="17"/>
        <v>0</v>
      </c>
      <c r="O47" s="14">
        <f t="shared" si="17"/>
        <v>0</v>
      </c>
      <c r="P47" s="14">
        <f t="shared" si="17"/>
        <v>0</v>
      </c>
      <c r="Q47" s="14">
        <f>SUM(Q37:Q46)</f>
        <v>0</v>
      </c>
      <c r="R47" s="14">
        <f t="shared" si="17"/>
        <v>0</v>
      </c>
      <c r="S47" s="14">
        <f t="shared" si="17"/>
        <v>0</v>
      </c>
      <c r="T47" s="14">
        <f t="shared" si="17"/>
        <v>0</v>
      </c>
      <c r="U47" s="14">
        <f t="shared" si="17"/>
        <v>0</v>
      </c>
      <c r="V47" s="14">
        <f t="shared" si="17"/>
        <v>0</v>
      </c>
      <c r="W47" s="14">
        <f t="shared" si="7"/>
        <v>3</v>
      </c>
      <c r="X47" s="14">
        <f aca="true" t="shared" si="18" ref="X47:AI47">SUM(X37:X46)</f>
        <v>0</v>
      </c>
      <c r="Y47" s="14">
        <f t="shared" si="18"/>
        <v>0</v>
      </c>
      <c r="Z47" s="14">
        <f t="shared" si="18"/>
        <v>0</v>
      </c>
      <c r="AA47" s="14">
        <f t="shared" si="18"/>
        <v>0</v>
      </c>
      <c r="AB47" s="14">
        <f t="shared" si="18"/>
        <v>0</v>
      </c>
      <c r="AC47" s="14">
        <f t="shared" si="18"/>
        <v>0</v>
      </c>
      <c r="AD47" s="14">
        <f t="shared" si="18"/>
        <v>0</v>
      </c>
      <c r="AE47" s="14">
        <f t="shared" si="18"/>
        <v>0</v>
      </c>
      <c r="AF47" s="14">
        <f t="shared" si="18"/>
        <v>0</v>
      </c>
      <c r="AG47" s="14">
        <f t="shared" si="18"/>
        <v>0</v>
      </c>
      <c r="AH47" s="14">
        <f t="shared" si="18"/>
        <v>0</v>
      </c>
      <c r="AI47" s="14">
        <f t="shared" si="18"/>
        <v>0</v>
      </c>
      <c r="AJ47" s="14">
        <f t="shared" si="9"/>
        <v>0</v>
      </c>
      <c r="AK47" s="14">
        <f>+AL47+AM47</f>
        <v>1111</v>
      </c>
      <c r="AL47" s="14">
        <f>7805*0.1</f>
        <v>780.5</v>
      </c>
      <c r="AM47" s="14">
        <f>1322*0.25</f>
        <v>330.5</v>
      </c>
    </row>
    <row r="48" spans="1:36" ht="15" thickBot="1">
      <c r="A48" s="110" t="s">
        <v>114</v>
      </c>
      <c r="B48" s="103" t="s">
        <v>101</v>
      </c>
      <c r="C48" s="63"/>
      <c r="D48" s="63"/>
      <c r="E48" s="17">
        <v>180</v>
      </c>
      <c r="F48" s="49">
        <f aca="true" t="shared" si="19" ref="F48:F60">+E48+(K48+L48+M48)-(X48+Y48+Z48)</f>
        <v>184</v>
      </c>
      <c r="G48" s="17"/>
      <c r="H48" s="61">
        <f t="shared" si="2"/>
        <v>0</v>
      </c>
      <c r="I48" s="50">
        <f aca="true" t="shared" si="20" ref="I48:I60">+G48+(Q48+R48+S48+T48)-(AD48+AE48+AF48+AG48)</f>
        <v>0</v>
      </c>
      <c r="J48" s="51"/>
      <c r="K48" s="126">
        <v>1</v>
      </c>
      <c r="L48" s="126">
        <v>3</v>
      </c>
      <c r="M48" s="126"/>
      <c r="N48" s="126"/>
      <c r="O48" s="126"/>
      <c r="P48" s="126"/>
      <c r="Q48" s="126"/>
      <c r="R48" s="126"/>
      <c r="S48" s="126"/>
      <c r="T48" s="127"/>
      <c r="U48" s="126"/>
      <c r="V48" s="126"/>
      <c r="W48" s="17">
        <f t="shared" si="7"/>
        <v>4</v>
      </c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7">
        <f t="shared" si="9"/>
        <v>0</v>
      </c>
    </row>
    <row r="49" spans="1:36" ht="15" thickBot="1">
      <c r="A49" s="110" t="s">
        <v>114</v>
      </c>
      <c r="B49" s="103" t="s">
        <v>102</v>
      </c>
      <c r="C49" s="63"/>
      <c r="D49" s="63"/>
      <c r="E49" s="17">
        <v>39</v>
      </c>
      <c r="F49" s="49">
        <f t="shared" si="19"/>
        <v>39</v>
      </c>
      <c r="G49" s="17"/>
      <c r="H49" s="61">
        <f t="shared" si="2"/>
        <v>0</v>
      </c>
      <c r="I49" s="50">
        <f t="shared" si="20"/>
        <v>0</v>
      </c>
      <c r="J49" s="51"/>
      <c r="K49" s="126"/>
      <c r="L49" s="126"/>
      <c r="M49" s="126"/>
      <c r="N49" s="126"/>
      <c r="O49" s="126"/>
      <c r="P49" s="126"/>
      <c r="Q49" s="126"/>
      <c r="R49" s="126"/>
      <c r="S49" s="126"/>
      <c r="T49" s="127"/>
      <c r="U49" s="126"/>
      <c r="V49" s="126"/>
      <c r="W49" s="17">
        <f t="shared" si="7"/>
        <v>0</v>
      </c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7">
        <f t="shared" si="9"/>
        <v>0</v>
      </c>
    </row>
    <row r="50" spans="1:36" ht="15" thickBot="1">
      <c r="A50" s="110" t="s">
        <v>114</v>
      </c>
      <c r="B50" s="103" t="s">
        <v>103</v>
      </c>
      <c r="C50" s="63"/>
      <c r="D50" s="63"/>
      <c r="E50" s="17">
        <v>25</v>
      </c>
      <c r="F50" s="49">
        <f t="shared" si="19"/>
        <v>25</v>
      </c>
      <c r="G50" s="17"/>
      <c r="H50" s="61">
        <f t="shared" si="2"/>
        <v>0</v>
      </c>
      <c r="I50" s="50">
        <f t="shared" si="20"/>
        <v>0</v>
      </c>
      <c r="J50" s="51"/>
      <c r="K50" s="126"/>
      <c r="L50" s="126"/>
      <c r="M50" s="126"/>
      <c r="N50" s="126"/>
      <c r="O50" s="126"/>
      <c r="P50" s="126"/>
      <c r="Q50" s="126"/>
      <c r="R50" s="126"/>
      <c r="S50" s="126"/>
      <c r="T50" s="127"/>
      <c r="U50" s="126"/>
      <c r="V50" s="126"/>
      <c r="W50" s="17">
        <f t="shared" si="7"/>
        <v>0</v>
      </c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7">
        <f t="shared" si="9"/>
        <v>0</v>
      </c>
    </row>
    <row r="51" spans="1:36" ht="15" thickBot="1">
      <c r="A51" s="110" t="s">
        <v>114</v>
      </c>
      <c r="B51" s="103" t="s">
        <v>104</v>
      </c>
      <c r="C51" s="63"/>
      <c r="D51" s="63"/>
      <c r="E51" s="17">
        <v>22</v>
      </c>
      <c r="F51" s="49">
        <f t="shared" si="19"/>
        <v>22</v>
      </c>
      <c r="G51" s="17"/>
      <c r="H51" s="61">
        <f t="shared" si="2"/>
        <v>0</v>
      </c>
      <c r="I51" s="50">
        <f t="shared" si="20"/>
        <v>0</v>
      </c>
      <c r="J51" s="51"/>
      <c r="K51" s="126"/>
      <c r="L51" s="126"/>
      <c r="M51" s="126"/>
      <c r="N51" s="126"/>
      <c r="O51" s="126"/>
      <c r="P51" s="126"/>
      <c r="Q51" s="126"/>
      <c r="R51" s="126"/>
      <c r="S51" s="126"/>
      <c r="T51" s="127"/>
      <c r="U51" s="126"/>
      <c r="V51" s="126"/>
      <c r="W51" s="17">
        <f t="shared" si="7"/>
        <v>0</v>
      </c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7">
        <f t="shared" si="9"/>
        <v>0</v>
      </c>
    </row>
    <row r="52" spans="1:36" ht="15" thickBot="1">
      <c r="A52" s="110" t="s">
        <v>114</v>
      </c>
      <c r="B52" s="103" t="s">
        <v>105</v>
      </c>
      <c r="C52" s="63"/>
      <c r="D52" s="63"/>
      <c r="E52" s="17">
        <v>3</v>
      </c>
      <c r="F52" s="49">
        <f t="shared" si="19"/>
        <v>3</v>
      </c>
      <c r="G52" s="17"/>
      <c r="H52" s="61">
        <f t="shared" si="2"/>
        <v>0</v>
      </c>
      <c r="I52" s="50">
        <f t="shared" si="20"/>
        <v>0</v>
      </c>
      <c r="J52" s="51"/>
      <c r="K52" s="126"/>
      <c r="L52" s="126"/>
      <c r="M52" s="126"/>
      <c r="N52" s="126"/>
      <c r="O52" s="126"/>
      <c r="P52" s="126"/>
      <c r="Q52" s="126"/>
      <c r="R52" s="126"/>
      <c r="S52" s="126"/>
      <c r="T52" s="127"/>
      <c r="U52" s="126"/>
      <c r="V52" s="126"/>
      <c r="W52" s="17">
        <f t="shared" si="7"/>
        <v>0</v>
      </c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7">
        <f t="shared" si="9"/>
        <v>0</v>
      </c>
    </row>
    <row r="53" spans="1:36" ht="15" thickBot="1">
      <c r="A53" s="110" t="s">
        <v>114</v>
      </c>
      <c r="B53" s="103" t="s">
        <v>106</v>
      </c>
      <c r="C53" s="63"/>
      <c r="D53" s="63"/>
      <c r="E53" s="17">
        <v>26</v>
      </c>
      <c r="F53" s="49">
        <f t="shared" si="19"/>
        <v>26</v>
      </c>
      <c r="G53" s="17"/>
      <c r="H53" s="61">
        <f t="shared" si="2"/>
        <v>0</v>
      </c>
      <c r="I53" s="50">
        <f t="shared" si="20"/>
        <v>0</v>
      </c>
      <c r="J53" s="51"/>
      <c r="K53" s="126"/>
      <c r="L53" s="126"/>
      <c r="M53" s="126"/>
      <c r="N53" s="126"/>
      <c r="O53" s="126"/>
      <c r="P53" s="126"/>
      <c r="Q53" s="126"/>
      <c r="R53" s="126"/>
      <c r="S53" s="126"/>
      <c r="T53" s="127"/>
      <c r="U53" s="126"/>
      <c r="V53" s="126"/>
      <c r="W53" s="17">
        <f t="shared" si="7"/>
        <v>0</v>
      </c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7">
        <f t="shared" si="9"/>
        <v>0</v>
      </c>
    </row>
    <row r="54" spans="1:36" ht="15" thickBot="1">
      <c r="A54" s="110" t="s">
        <v>114</v>
      </c>
      <c r="B54" s="103" t="s">
        <v>107</v>
      </c>
      <c r="C54" s="63"/>
      <c r="D54" s="63"/>
      <c r="E54" s="17">
        <v>15</v>
      </c>
      <c r="F54" s="49">
        <f t="shared" si="19"/>
        <v>15</v>
      </c>
      <c r="G54" s="17"/>
      <c r="H54" s="61">
        <f t="shared" si="2"/>
        <v>0</v>
      </c>
      <c r="I54" s="50">
        <f t="shared" si="20"/>
        <v>0</v>
      </c>
      <c r="J54" s="51"/>
      <c r="K54" s="126"/>
      <c r="L54" s="126"/>
      <c r="M54" s="126"/>
      <c r="N54" s="126"/>
      <c r="O54" s="126"/>
      <c r="P54" s="126"/>
      <c r="Q54" s="126"/>
      <c r="R54" s="126"/>
      <c r="S54" s="126"/>
      <c r="T54" s="127"/>
      <c r="U54" s="126"/>
      <c r="V54" s="126"/>
      <c r="W54" s="17">
        <f t="shared" si="7"/>
        <v>0</v>
      </c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7">
        <f t="shared" si="9"/>
        <v>0</v>
      </c>
    </row>
    <row r="55" spans="1:36" ht="15" thickBot="1">
      <c r="A55" s="110" t="s">
        <v>114</v>
      </c>
      <c r="B55" s="103" t="s">
        <v>108</v>
      </c>
      <c r="C55" s="63"/>
      <c r="D55" s="63"/>
      <c r="E55" s="17">
        <v>12</v>
      </c>
      <c r="F55" s="49">
        <f t="shared" si="19"/>
        <v>12</v>
      </c>
      <c r="G55" s="17"/>
      <c r="H55" s="61">
        <f t="shared" si="2"/>
        <v>0</v>
      </c>
      <c r="I55" s="50">
        <f t="shared" si="20"/>
        <v>0</v>
      </c>
      <c r="J55" s="51"/>
      <c r="K55" s="126"/>
      <c r="L55" s="126"/>
      <c r="M55" s="126"/>
      <c r="N55" s="126"/>
      <c r="O55" s="126"/>
      <c r="P55" s="126"/>
      <c r="Q55" s="126"/>
      <c r="R55" s="126"/>
      <c r="S55" s="126"/>
      <c r="T55" s="127"/>
      <c r="U55" s="126"/>
      <c r="V55" s="126"/>
      <c r="W55" s="17">
        <f t="shared" si="7"/>
        <v>0</v>
      </c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7">
        <f t="shared" si="9"/>
        <v>0</v>
      </c>
    </row>
    <row r="56" spans="1:36" ht="15" thickBot="1">
      <c r="A56" s="110" t="s">
        <v>114</v>
      </c>
      <c r="B56" s="103" t="s">
        <v>109</v>
      </c>
      <c r="C56" s="63"/>
      <c r="D56" s="63"/>
      <c r="E56" s="17">
        <v>40</v>
      </c>
      <c r="F56" s="49">
        <f t="shared" si="19"/>
        <v>39</v>
      </c>
      <c r="G56" s="17"/>
      <c r="H56" s="61">
        <f t="shared" si="2"/>
        <v>0</v>
      </c>
      <c r="I56" s="50">
        <f t="shared" si="20"/>
        <v>0</v>
      </c>
      <c r="J56" s="51"/>
      <c r="K56" s="126"/>
      <c r="L56" s="126"/>
      <c r="M56" s="126"/>
      <c r="N56" s="126"/>
      <c r="O56" s="126"/>
      <c r="P56" s="126"/>
      <c r="Q56" s="126"/>
      <c r="R56" s="126"/>
      <c r="S56" s="126"/>
      <c r="T56" s="127"/>
      <c r="U56" s="126"/>
      <c r="V56" s="126"/>
      <c r="W56" s="17">
        <f t="shared" si="7"/>
        <v>0</v>
      </c>
      <c r="X56" s="126"/>
      <c r="Y56" s="126">
        <v>1</v>
      </c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7">
        <f t="shared" si="9"/>
        <v>1</v>
      </c>
    </row>
    <row r="57" spans="1:36" ht="15" thickBot="1">
      <c r="A57" s="110" t="s">
        <v>114</v>
      </c>
      <c r="B57" s="103" t="s">
        <v>110</v>
      </c>
      <c r="C57" s="63"/>
      <c r="D57" s="63"/>
      <c r="E57" s="17">
        <v>16</v>
      </c>
      <c r="F57" s="49">
        <f t="shared" si="19"/>
        <v>16</v>
      </c>
      <c r="G57" s="17"/>
      <c r="H57" s="61">
        <f t="shared" si="2"/>
        <v>0</v>
      </c>
      <c r="I57" s="50">
        <f t="shared" si="20"/>
        <v>0</v>
      </c>
      <c r="J57" s="51"/>
      <c r="K57" s="126"/>
      <c r="L57" s="126"/>
      <c r="M57" s="126"/>
      <c r="N57" s="126"/>
      <c r="O57" s="126"/>
      <c r="P57" s="126"/>
      <c r="Q57" s="126"/>
      <c r="R57" s="126"/>
      <c r="S57" s="126"/>
      <c r="T57" s="127"/>
      <c r="U57" s="126"/>
      <c r="V57" s="126"/>
      <c r="W57" s="17">
        <f t="shared" si="7"/>
        <v>0</v>
      </c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7">
        <f t="shared" si="9"/>
        <v>0</v>
      </c>
    </row>
    <row r="58" spans="1:36" ht="15" thickBot="1">
      <c r="A58" s="110" t="s">
        <v>114</v>
      </c>
      <c r="B58" s="103" t="s">
        <v>111</v>
      </c>
      <c r="C58" s="63"/>
      <c r="D58" s="63"/>
      <c r="E58" s="17">
        <v>75</v>
      </c>
      <c r="F58" s="49">
        <f t="shared" si="19"/>
        <v>75</v>
      </c>
      <c r="G58" s="17"/>
      <c r="H58" s="61">
        <f t="shared" si="2"/>
        <v>0</v>
      </c>
      <c r="I58" s="50">
        <f t="shared" si="20"/>
        <v>0</v>
      </c>
      <c r="J58" s="51"/>
      <c r="K58" s="126"/>
      <c r="L58" s="126"/>
      <c r="M58" s="126"/>
      <c r="N58" s="126"/>
      <c r="O58" s="126"/>
      <c r="P58" s="126"/>
      <c r="Q58" s="126"/>
      <c r="R58" s="126"/>
      <c r="S58" s="126"/>
      <c r="T58" s="127"/>
      <c r="U58" s="126"/>
      <c r="V58" s="126"/>
      <c r="W58" s="17">
        <f t="shared" si="7"/>
        <v>0</v>
      </c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7">
        <f t="shared" si="9"/>
        <v>0</v>
      </c>
    </row>
    <row r="59" spans="1:36" ht="15" thickBot="1">
      <c r="A59" s="110" t="s">
        <v>114</v>
      </c>
      <c r="B59" s="103" t="s">
        <v>112</v>
      </c>
      <c r="C59" s="63"/>
      <c r="D59" s="63"/>
      <c r="E59" s="17">
        <v>18</v>
      </c>
      <c r="F59" s="49">
        <f t="shared" si="19"/>
        <v>18</v>
      </c>
      <c r="G59" s="17"/>
      <c r="H59" s="61">
        <f t="shared" si="2"/>
        <v>0</v>
      </c>
      <c r="I59" s="50">
        <f t="shared" si="20"/>
        <v>0</v>
      </c>
      <c r="J59" s="51"/>
      <c r="K59" s="126"/>
      <c r="L59" s="126"/>
      <c r="M59" s="126"/>
      <c r="N59" s="126"/>
      <c r="O59" s="126"/>
      <c r="P59" s="126"/>
      <c r="Q59" s="126"/>
      <c r="R59" s="126"/>
      <c r="S59" s="126"/>
      <c r="T59" s="127"/>
      <c r="U59" s="126"/>
      <c r="V59" s="126"/>
      <c r="W59" s="17">
        <f t="shared" si="7"/>
        <v>0</v>
      </c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7">
        <f t="shared" si="9"/>
        <v>0</v>
      </c>
    </row>
    <row r="60" spans="1:36" ht="15" thickBot="1">
      <c r="A60" s="110" t="s">
        <v>114</v>
      </c>
      <c r="B60" s="103" t="s">
        <v>113</v>
      </c>
      <c r="C60" s="63"/>
      <c r="D60" s="63"/>
      <c r="E60" s="17">
        <v>16</v>
      </c>
      <c r="F60" s="49">
        <f t="shared" si="19"/>
        <v>16</v>
      </c>
      <c r="G60" s="17"/>
      <c r="H60" s="61">
        <f t="shared" si="2"/>
        <v>0</v>
      </c>
      <c r="I60" s="50">
        <f t="shared" si="20"/>
        <v>0</v>
      </c>
      <c r="J60" s="51"/>
      <c r="K60" s="126"/>
      <c r="L60" s="126"/>
      <c r="M60" s="126"/>
      <c r="N60" s="126"/>
      <c r="O60" s="126"/>
      <c r="P60" s="126"/>
      <c r="Q60" s="126"/>
      <c r="R60" s="126"/>
      <c r="S60" s="126"/>
      <c r="T60" s="127"/>
      <c r="U60" s="126"/>
      <c r="V60" s="126"/>
      <c r="W60" s="17">
        <f t="shared" si="7"/>
        <v>0</v>
      </c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7">
        <f t="shared" si="9"/>
        <v>0</v>
      </c>
    </row>
    <row r="61" spans="1:39" ht="15" thickBot="1">
      <c r="A61" s="196" t="s">
        <v>203</v>
      </c>
      <c r="B61" s="197"/>
      <c r="C61" s="45">
        <f>+D61/Metas!M29</f>
        <v>0.9571499590281216</v>
      </c>
      <c r="D61" s="19">
        <f>+F61/AK61</f>
        <v>0.41157448238209227</v>
      </c>
      <c r="E61" s="14">
        <f aca="true" t="shared" si="21" ref="E61:K61">SUM(E48:E60)</f>
        <v>487</v>
      </c>
      <c r="F61" s="14">
        <f t="shared" si="21"/>
        <v>490</v>
      </c>
      <c r="G61" s="14">
        <f t="shared" si="21"/>
        <v>0</v>
      </c>
      <c r="H61" s="14">
        <f t="shared" si="21"/>
        <v>0</v>
      </c>
      <c r="I61" s="14">
        <f>SUM(I48:I60)</f>
        <v>0</v>
      </c>
      <c r="J61" s="14">
        <f t="shared" si="21"/>
        <v>0</v>
      </c>
      <c r="K61" s="14">
        <f t="shared" si="21"/>
        <v>1</v>
      </c>
      <c r="L61" s="14">
        <f aca="true" t="shared" si="22" ref="L61:V61">SUM(L48:L60)</f>
        <v>3</v>
      </c>
      <c r="M61" s="14">
        <f t="shared" si="22"/>
        <v>0</v>
      </c>
      <c r="N61" s="14">
        <f t="shared" si="22"/>
        <v>0</v>
      </c>
      <c r="O61" s="14">
        <f t="shared" si="22"/>
        <v>0</v>
      </c>
      <c r="P61" s="14">
        <f t="shared" si="22"/>
        <v>0</v>
      </c>
      <c r="Q61" s="14">
        <f t="shared" si="22"/>
        <v>0</v>
      </c>
      <c r="R61" s="14">
        <f t="shared" si="22"/>
        <v>0</v>
      </c>
      <c r="S61" s="14">
        <f t="shared" si="22"/>
        <v>0</v>
      </c>
      <c r="T61" s="14">
        <f t="shared" si="22"/>
        <v>0</v>
      </c>
      <c r="U61" s="14">
        <f t="shared" si="22"/>
        <v>0</v>
      </c>
      <c r="V61" s="14">
        <f t="shared" si="22"/>
        <v>0</v>
      </c>
      <c r="W61" s="14">
        <f t="shared" si="7"/>
        <v>4</v>
      </c>
      <c r="X61" s="14">
        <f aca="true" t="shared" si="23" ref="X61:AI61">SUM(X48:X60)</f>
        <v>0</v>
      </c>
      <c r="Y61" s="14">
        <f t="shared" si="23"/>
        <v>1</v>
      </c>
      <c r="Z61" s="14">
        <f t="shared" si="23"/>
        <v>0</v>
      </c>
      <c r="AA61" s="14">
        <f t="shared" si="23"/>
        <v>0</v>
      </c>
      <c r="AB61" s="14">
        <f t="shared" si="23"/>
        <v>0</v>
      </c>
      <c r="AC61" s="14">
        <f t="shared" si="23"/>
        <v>0</v>
      </c>
      <c r="AD61" s="14">
        <f t="shared" si="23"/>
        <v>0</v>
      </c>
      <c r="AE61" s="14">
        <f t="shared" si="23"/>
        <v>0</v>
      </c>
      <c r="AF61" s="14">
        <f t="shared" si="23"/>
        <v>0</v>
      </c>
      <c r="AG61" s="14">
        <f t="shared" si="23"/>
        <v>0</v>
      </c>
      <c r="AH61" s="14">
        <f t="shared" si="23"/>
        <v>0</v>
      </c>
      <c r="AI61" s="14">
        <f t="shared" si="23"/>
        <v>0</v>
      </c>
      <c r="AJ61" s="14">
        <f t="shared" si="9"/>
        <v>1</v>
      </c>
      <c r="AK61" s="14">
        <f>+AL61+AM61</f>
        <v>1190.5500000000002</v>
      </c>
      <c r="AL61" s="14">
        <f>8503*0.1</f>
        <v>850.3000000000001</v>
      </c>
      <c r="AM61" s="14">
        <f>1361*0.25</f>
        <v>340.25</v>
      </c>
    </row>
    <row r="62" spans="1:36" ht="15" thickBot="1">
      <c r="A62" s="110" t="s">
        <v>125</v>
      </c>
      <c r="B62" s="103" t="s">
        <v>115</v>
      </c>
      <c r="C62" s="63"/>
      <c r="D62" s="63"/>
      <c r="E62" s="17">
        <v>206</v>
      </c>
      <c r="F62" s="49">
        <f aca="true" t="shared" si="24" ref="F62:F71">+E62+(K62+L62+M62)-(X62+Y62+Z62)</f>
        <v>211</v>
      </c>
      <c r="G62" s="17"/>
      <c r="H62" s="61">
        <f t="shared" si="2"/>
        <v>0</v>
      </c>
      <c r="I62" s="50">
        <f aca="true" t="shared" si="25" ref="I62:I71">+G62+(Q62+R62+S62+T62)-(AD62+AE62+AF62+AG62)</f>
        <v>0</v>
      </c>
      <c r="J62" s="51"/>
      <c r="K62" s="126">
        <v>1</v>
      </c>
      <c r="L62" s="126">
        <v>4</v>
      </c>
      <c r="M62" s="126"/>
      <c r="N62" s="126"/>
      <c r="O62" s="126"/>
      <c r="P62" s="126"/>
      <c r="Q62" s="126"/>
      <c r="R62" s="126"/>
      <c r="S62" s="126"/>
      <c r="T62" s="127"/>
      <c r="U62" s="126"/>
      <c r="V62" s="126"/>
      <c r="W62" s="17">
        <f t="shared" si="7"/>
        <v>5</v>
      </c>
      <c r="X62" s="130"/>
      <c r="Y62" s="131"/>
      <c r="Z62" s="131"/>
      <c r="AA62" s="131"/>
      <c r="AB62" s="126"/>
      <c r="AC62" s="126"/>
      <c r="AD62" s="126"/>
      <c r="AE62" s="126"/>
      <c r="AF62" s="126"/>
      <c r="AG62" s="126"/>
      <c r="AH62" s="126"/>
      <c r="AI62" s="126"/>
      <c r="AJ62" s="17">
        <f t="shared" si="9"/>
        <v>0</v>
      </c>
    </row>
    <row r="63" spans="1:36" ht="15" thickBot="1">
      <c r="A63" s="110" t="s">
        <v>125</v>
      </c>
      <c r="B63" s="103" t="s">
        <v>116</v>
      </c>
      <c r="C63" s="63"/>
      <c r="D63" s="63"/>
      <c r="E63" s="17">
        <v>89</v>
      </c>
      <c r="F63" s="49">
        <f t="shared" si="24"/>
        <v>89</v>
      </c>
      <c r="G63" s="17"/>
      <c r="H63" s="61">
        <f t="shared" si="2"/>
        <v>0</v>
      </c>
      <c r="I63" s="50">
        <f t="shared" si="25"/>
        <v>0</v>
      </c>
      <c r="J63" s="51"/>
      <c r="K63" s="126"/>
      <c r="L63" s="126"/>
      <c r="M63" s="126"/>
      <c r="N63" s="126"/>
      <c r="O63" s="126"/>
      <c r="P63" s="126"/>
      <c r="Q63" s="126"/>
      <c r="R63" s="126"/>
      <c r="S63" s="126"/>
      <c r="T63" s="127"/>
      <c r="U63" s="126"/>
      <c r="V63" s="126"/>
      <c r="W63" s="17">
        <f t="shared" si="7"/>
        <v>0</v>
      </c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7">
        <f t="shared" si="9"/>
        <v>0</v>
      </c>
    </row>
    <row r="64" spans="1:36" ht="15" thickBot="1">
      <c r="A64" s="110" t="s">
        <v>125</v>
      </c>
      <c r="B64" s="103" t="s">
        <v>117</v>
      </c>
      <c r="C64" s="63"/>
      <c r="D64" s="63"/>
      <c r="E64" s="17">
        <v>13</v>
      </c>
      <c r="F64" s="49">
        <f t="shared" si="24"/>
        <v>13</v>
      </c>
      <c r="G64" s="17"/>
      <c r="H64" s="61">
        <f t="shared" si="2"/>
        <v>0</v>
      </c>
      <c r="I64" s="50">
        <f t="shared" si="25"/>
        <v>0</v>
      </c>
      <c r="J64" s="51"/>
      <c r="K64" s="126"/>
      <c r="L64" s="126"/>
      <c r="M64" s="126"/>
      <c r="N64" s="126"/>
      <c r="O64" s="126"/>
      <c r="P64" s="126"/>
      <c r="Q64" s="126"/>
      <c r="R64" s="126"/>
      <c r="S64" s="126"/>
      <c r="T64" s="127"/>
      <c r="U64" s="126"/>
      <c r="V64" s="126"/>
      <c r="W64" s="17">
        <f t="shared" si="7"/>
        <v>0</v>
      </c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7">
        <f t="shared" si="9"/>
        <v>0</v>
      </c>
    </row>
    <row r="65" spans="1:36" ht="15" thickBot="1">
      <c r="A65" s="110" t="s">
        <v>125</v>
      </c>
      <c r="B65" s="103" t="s">
        <v>118</v>
      </c>
      <c r="C65" s="63"/>
      <c r="D65" s="63"/>
      <c r="E65" s="17">
        <v>50</v>
      </c>
      <c r="F65" s="49">
        <f t="shared" si="24"/>
        <v>49</v>
      </c>
      <c r="G65" s="17"/>
      <c r="H65" s="61">
        <f t="shared" si="2"/>
        <v>0</v>
      </c>
      <c r="I65" s="50">
        <f t="shared" si="25"/>
        <v>0</v>
      </c>
      <c r="J65" s="51"/>
      <c r="K65" s="126"/>
      <c r="L65" s="126">
        <v>1</v>
      </c>
      <c r="M65" s="126"/>
      <c r="N65" s="126"/>
      <c r="O65" s="126"/>
      <c r="P65" s="126"/>
      <c r="Q65" s="126"/>
      <c r="R65" s="126"/>
      <c r="S65" s="126"/>
      <c r="T65" s="127"/>
      <c r="U65" s="126"/>
      <c r="V65" s="126"/>
      <c r="W65" s="17">
        <f t="shared" si="7"/>
        <v>1</v>
      </c>
      <c r="X65" s="126">
        <v>1</v>
      </c>
      <c r="Y65" s="126">
        <v>1</v>
      </c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7">
        <f t="shared" si="9"/>
        <v>2</v>
      </c>
    </row>
    <row r="66" spans="1:36" ht="15" thickBot="1">
      <c r="A66" s="110" t="s">
        <v>125</v>
      </c>
      <c r="B66" s="103" t="s">
        <v>119</v>
      </c>
      <c r="C66" s="63"/>
      <c r="D66" s="63"/>
      <c r="E66" s="17">
        <v>10</v>
      </c>
      <c r="F66" s="49">
        <f t="shared" si="24"/>
        <v>10</v>
      </c>
      <c r="G66" s="17"/>
      <c r="H66" s="61">
        <f t="shared" si="2"/>
        <v>0</v>
      </c>
      <c r="I66" s="50">
        <f t="shared" si="25"/>
        <v>0</v>
      </c>
      <c r="J66" s="51"/>
      <c r="K66" s="126"/>
      <c r="L66" s="126"/>
      <c r="M66" s="126"/>
      <c r="N66" s="126"/>
      <c r="O66" s="126"/>
      <c r="P66" s="126"/>
      <c r="Q66" s="126"/>
      <c r="R66" s="126"/>
      <c r="S66" s="126"/>
      <c r="T66" s="127"/>
      <c r="U66" s="126"/>
      <c r="V66" s="126"/>
      <c r="W66" s="17">
        <f t="shared" si="7"/>
        <v>0</v>
      </c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7">
        <f t="shared" si="9"/>
        <v>0</v>
      </c>
    </row>
    <row r="67" spans="1:36" ht="15" thickBot="1">
      <c r="A67" s="110" t="s">
        <v>125</v>
      </c>
      <c r="B67" s="103" t="s">
        <v>120</v>
      </c>
      <c r="C67" s="63"/>
      <c r="D67" s="63"/>
      <c r="E67" s="17">
        <v>29</v>
      </c>
      <c r="F67" s="49">
        <f t="shared" si="24"/>
        <v>29</v>
      </c>
      <c r="G67" s="17"/>
      <c r="H67" s="61">
        <f t="shared" si="2"/>
        <v>0</v>
      </c>
      <c r="I67" s="50">
        <f t="shared" si="25"/>
        <v>0</v>
      </c>
      <c r="J67" s="51"/>
      <c r="K67" s="126"/>
      <c r="L67" s="126"/>
      <c r="M67" s="126"/>
      <c r="N67" s="126"/>
      <c r="O67" s="126"/>
      <c r="P67" s="126"/>
      <c r="Q67" s="126"/>
      <c r="R67" s="126"/>
      <c r="S67" s="126"/>
      <c r="T67" s="127"/>
      <c r="U67" s="126"/>
      <c r="V67" s="126"/>
      <c r="W67" s="17">
        <f t="shared" si="7"/>
        <v>0</v>
      </c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7">
        <f t="shared" si="9"/>
        <v>0</v>
      </c>
    </row>
    <row r="68" spans="1:36" ht="15" thickBot="1">
      <c r="A68" s="110" t="s">
        <v>125</v>
      </c>
      <c r="B68" s="103" t="s">
        <v>121</v>
      </c>
      <c r="C68" s="63"/>
      <c r="D68" s="63"/>
      <c r="E68" s="17">
        <v>4</v>
      </c>
      <c r="F68" s="49">
        <f t="shared" si="24"/>
        <v>4</v>
      </c>
      <c r="G68" s="17"/>
      <c r="H68" s="61">
        <f t="shared" si="2"/>
        <v>0</v>
      </c>
      <c r="I68" s="50">
        <f t="shared" si="25"/>
        <v>0</v>
      </c>
      <c r="J68" s="51"/>
      <c r="K68" s="126"/>
      <c r="L68" s="126"/>
      <c r="M68" s="126"/>
      <c r="N68" s="126"/>
      <c r="O68" s="126"/>
      <c r="P68" s="126"/>
      <c r="Q68" s="126"/>
      <c r="R68" s="126"/>
      <c r="S68" s="126"/>
      <c r="T68" s="127"/>
      <c r="U68" s="126"/>
      <c r="V68" s="126"/>
      <c r="W68" s="17">
        <f t="shared" si="7"/>
        <v>0</v>
      </c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7">
        <f t="shared" si="9"/>
        <v>0</v>
      </c>
    </row>
    <row r="69" spans="1:36" ht="15" thickBot="1">
      <c r="A69" s="110" t="s">
        <v>125</v>
      </c>
      <c r="B69" s="103" t="s">
        <v>122</v>
      </c>
      <c r="C69" s="63"/>
      <c r="D69" s="63"/>
      <c r="E69" s="17">
        <v>10</v>
      </c>
      <c r="F69" s="49">
        <f t="shared" si="24"/>
        <v>10</v>
      </c>
      <c r="G69" s="17"/>
      <c r="H69" s="61">
        <f t="shared" si="2"/>
        <v>0</v>
      </c>
      <c r="I69" s="50">
        <f t="shared" si="25"/>
        <v>0</v>
      </c>
      <c r="J69" s="51"/>
      <c r="K69" s="121"/>
      <c r="L69" s="121"/>
      <c r="M69" s="121"/>
      <c r="N69" s="121"/>
      <c r="O69" s="121"/>
      <c r="P69" s="121"/>
      <c r="Q69" s="121"/>
      <c r="R69" s="121"/>
      <c r="S69" s="121"/>
      <c r="T69" s="127"/>
      <c r="U69" s="126"/>
      <c r="V69" s="126"/>
      <c r="W69" s="17">
        <f t="shared" si="7"/>
        <v>0</v>
      </c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7">
        <f t="shared" si="9"/>
        <v>0</v>
      </c>
    </row>
    <row r="70" spans="1:36" ht="15" thickBot="1">
      <c r="A70" s="110" t="s">
        <v>125</v>
      </c>
      <c r="B70" s="103" t="s">
        <v>123</v>
      </c>
      <c r="C70" s="63"/>
      <c r="D70" s="63"/>
      <c r="E70" s="17">
        <v>7</v>
      </c>
      <c r="F70" s="49">
        <f t="shared" si="24"/>
        <v>7</v>
      </c>
      <c r="G70" s="17"/>
      <c r="H70" s="61">
        <f t="shared" si="2"/>
        <v>0</v>
      </c>
      <c r="I70" s="50">
        <f t="shared" si="25"/>
        <v>0</v>
      </c>
      <c r="J70" s="51"/>
      <c r="K70" s="121"/>
      <c r="L70" s="121"/>
      <c r="M70" s="121"/>
      <c r="N70" s="121"/>
      <c r="O70" s="121"/>
      <c r="P70" s="121"/>
      <c r="Q70" s="121"/>
      <c r="R70" s="121"/>
      <c r="S70" s="121"/>
      <c r="T70" s="127"/>
      <c r="U70" s="126"/>
      <c r="V70" s="126"/>
      <c r="W70" s="17">
        <f t="shared" si="7"/>
        <v>0</v>
      </c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7">
        <f t="shared" si="9"/>
        <v>0</v>
      </c>
    </row>
    <row r="71" spans="1:36" ht="15" thickBot="1">
      <c r="A71" s="110" t="s">
        <v>125</v>
      </c>
      <c r="B71" s="103" t="s">
        <v>124</v>
      </c>
      <c r="C71" s="63"/>
      <c r="D71" s="63"/>
      <c r="E71" s="17">
        <v>1</v>
      </c>
      <c r="F71" s="49">
        <f t="shared" si="24"/>
        <v>1</v>
      </c>
      <c r="G71" s="17"/>
      <c r="H71" s="61">
        <f t="shared" si="2"/>
        <v>0</v>
      </c>
      <c r="I71" s="50">
        <f t="shared" si="25"/>
        <v>0</v>
      </c>
      <c r="J71" s="51"/>
      <c r="K71" s="126"/>
      <c r="L71" s="126"/>
      <c r="M71" s="126"/>
      <c r="N71" s="126"/>
      <c r="O71" s="126"/>
      <c r="P71" s="126"/>
      <c r="Q71" s="126"/>
      <c r="R71" s="126"/>
      <c r="S71" s="126"/>
      <c r="T71" s="127"/>
      <c r="U71" s="126"/>
      <c r="V71" s="126"/>
      <c r="W71" s="17">
        <f t="shared" si="7"/>
        <v>0</v>
      </c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7">
        <f t="shared" si="9"/>
        <v>0</v>
      </c>
    </row>
    <row r="72" spans="1:39" ht="15" thickBot="1">
      <c r="A72" s="196" t="s">
        <v>23</v>
      </c>
      <c r="B72" s="197"/>
      <c r="C72" s="45">
        <f>+D72/Metas!M26</f>
        <v>0.9959385484725412</v>
      </c>
      <c r="D72" s="19">
        <f>+F72/AK72</f>
        <v>0.41829419035846727</v>
      </c>
      <c r="E72" s="14">
        <f aca="true" t="shared" si="26" ref="E72:K72">SUM(E62:E71)</f>
        <v>419</v>
      </c>
      <c r="F72" s="14">
        <f t="shared" si="26"/>
        <v>423</v>
      </c>
      <c r="G72" s="14">
        <f t="shared" si="26"/>
        <v>0</v>
      </c>
      <c r="H72" s="14">
        <f t="shared" si="26"/>
        <v>0</v>
      </c>
      <c r="I72" s="14">
        <f>SUM(I62:I71)</f>
        <v>0</v>
      </c>
      <c r="J72" s="14">
        <f t="shared" si="26"/>
        <v>0</v>
      </c>
      <c r="K72" s="14">
        <f t="shared" si="26"/>
        <v>1</v>
      </c>
      <c r="L72" s="14">
        <f aca="true" t="shared" si="27" ref="L72:V72">SUM(L62:L71)</f>
        <v>5</v>
      </c>
      <c r="M72" s="14">
        <f t="shared" si="27"/>
        <v>0</v>
      </c>
      <c r="N72" s="14">
        <f t="shared" si="27"/>
        <v>0</v>
      </c>
      <c r="O72" s="14">
        <f t="shared" si="27"/>
        <v>0</v>
      </c>
      <c r="P72" s="14">
        <f t="shared" si="27"/>
        <v>0</v>
      </c>
      <c r="Q72" s="14">
        <f t="shared" si="27"/>
        <v>0</v>
      </c>
      <c r="R72" s="14">
        <f t="shared" si="27"/>
        <v>0</v>
      </c>
      <c r="S72" s="14">
        <f t="shared" si="27"/>
        <v>0</v>
      </c>
      <c r="T72" s="14">
        <f t="shared" si="27"/>
        <v>0</v>
      </c>
      <c r="U72" s="14">
        <f t="shared" si="27"/>
        <v>0</v>
      </c>
      <c r="V72" s="14">
        <f t="shared" si="27"/>
        <v>0</v>
      </c>
      <c r="W72" s="14">
        <f t="shared" si="7"/>
        <v>6</v>
      </c>
      <c r="X72" s="14">
        <f aca="true" t="shared" si="28" ref="X72:AI72">SUM(X62:X71)</f>
        <v>1</v>
      </c>
      <c r="Y72" s="14">
        <f t="shared" si="28"/>
        <v>1</v>
      </c>
      <c r="Z72" s="14">
        <f t="shared" si="28"/>
        <v>0</v>
      </c>
      <c r="AA72" s="14">
        <f t="shared" si="28"/>
        <v>0</v>
      </c>
      <c r="AB72" s="14">
        <f t="shared" si="28"/>
        <v>0</v>
      </c>
      <c r="AC72" s="14">
        <f t="shared" si="28"/>
        <v>0</v>
      </c>
      <c r="AD72" s="14">
        <f t="shared" si="28"/>
        <v>0</v>
      </c>
      <c r="AE72" s="14">
        <f t="shared" si="28"/>
        <v>0</v>
      </c>
      <c r="AF72" s="14">
        <f t="shared" si="28"/>
        <v>0</v>
      </c>
      <c r="AG72" s="14">
        <f t="shared" si="28"/>
        <v>0</v>
      </c>
      <c r="AH72" s="14">
        <f t="shared" si="28"/>
        <v>0</v>
      </c>
      <c r="AI72" s="14">
        <f t="shared" si="28"/>
        <v>0</v>
      </c>
      <c r="AJ72" s="14">
        <f t="shared" si="9"/>
        <v>2</v>
      </c>
      <c r="AK72" s="14">
        <f>+AL72+AM72</f>
        <v>1011.25</v>
      </c>
      <c r="AL72" s="14">
        <f>6185*0.1</f>
        <v>618.5</v>
      </c>
      <c r="AM72" s="14">
        <f>1571*0.25</f>
        <v>392.75</v>
      </c>
    </row>
    <row r="73" spans="1:36" ht="15" thickBot="1">
      <c r="A73" s="110" t="s">
        <v>131</v>
      </c>
      <c r="B73" s="103" t="s">
        <v>126</v>
      </c>
      <c r="C73" s="63"/>
      <c r="D73" s="63"/>
      <c r="E73" s="17">
        <v>126</v>
      </c>
      <c r="F73" s="49">
        <f>+E73+(K73+L73+M73)-(X73+Y73+Z73)</f>
        <v>128</v>
      </c>
      <c r="G73" s="17"/>
      <c r="H73" s="61">
        <f t="shared" si="2"/>
        <v>0</v>
      </c>
      <c r="I73" s="50">
        <f>+G73+(Q73+R73+S73+T73)-(AD73+AE73+AF73+AG73)</f>
        <v>0</v>
      </c>
      <c r="J73" s="51"/>
      <c r="K73" s="126">
        <v>2</v>
      </c>
      <c r="L73" s="126">
        <v>1</v>
      </c>
      <c r="M73" s="126"/>
      <c r="N73" s="126"/>
      <c r="O73" s="126"/>
      <c r="P73" s="126"/>
      <c r="Q73" s="126"/>
      <c r="R73" s="126"/>
      <c r="S73" s="126"/>
      <c r="T73" s="127"/>
      <c r="U73" s="126"/>
      <c r="V73" s="126"/>
      <c r="W73" s="17">
        <f t="shared" si="7"/>
        <v>3</v>
      </c>
      <c r="X73" s="126"/>
      <c r="Y73" s="126">
        <v>1</v>
      </c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7">
        <f t="shared" si="9"/>
        <v>1</v>
      </c>
    </row>
    <row r="74" spans="1:36" ht="15" thickBot="1">
      <c r="A74" s="110" t="s">
        <v>131</v>
      </c>
      <c r="B74" s="103" t="s">
        <v>127</v>
      </c>
      <c r="C74" s="63"/>
      <c r="D74" s="63"/>
      <c r="E74" s="17">
        <v>23</v>
      </c>
      <c r="F74" s="49">
        <f>+E74+(K74+L74+M74)-(X74+Y74+Z74)</f>
        <v>24</v>
      </c>
      <c r="G74" s="17"/>
      <c r="H74" s="61">
        <f t="shared" si="2"/>
        <v>0</v>
      </c>
      <c r="I74" s="50">
        <f>+G74+(Q74+R74+S74+T74)-(AD74+AE74+AF74+AG74)</f>
        <v>0</v>
      </c>
      <c r="J74" s="51"/>
      <c r="K74" s="126"/>
      <c r="L74" s="126">
        <v>1</v>
      </c>
      <c r="M74" s="126"/>
      <c r="N74" s="126"/>
      <c r="O74" s="126"/>
      <c r="P74" s="126"/>
      <c r="Q74" s="126"/>
      <c r="R74" s="126"/>
      <c r="S74" s="126"/>
      <c r="T74" s="127"/>
      <c r="U74" s="126"/>
      <c r="V74" s="126"/>
      <c r="W74" s="17">
        <f t="shared" si="7"/>
        <v>1</v>
      </c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7">
        <f t="shared" si="9"/>
        <v>0</v>
      </c>
    </row>
    <row r="75" spans="1:36" ht="15" thickBot="1">
      <c r="A75" s="110" t="s">
        <v>131</v>
      </c>
      <c r="B75" s="103" t="s">
        <v>128</v>
      </c>
      <c r="C75" s="63"/>
      <c r="D75" s="63"/>
      <c r="E75" s="17">
        <v>86</v>
      </c>
      <c r="F75" s="49">
        <f>+E75+(K75+L75+M75)-(X75+Y75+Z75)</f>
        <v>84</v>
      </c>
      <c r="G75" s="17"/>
      <c r="H75" s="61">
        <f t="shared" si="2"/>
        <v>0</v>
      </c>
      <c r="I75" s="50">
        <f>+G75+(Q75+R75+S75+T75)-(AD75+AE75+AF75+AG75)</f>
        <v>0</v>
      </c>
      <c r="J75" s="51"/>
      <c r="K75" s="126"/>
      <c r="L75" s="126"/>
      <c r="M75" s="126"/>
      <c r="N75" s="126"/>
      <c r="O75" s="126"/>
      <c r="P75" s="126"/>
      <c r="Q75" s="126"/>
      <c r="R75" s="126"/>
      <c r="S75" s="126"/>
      <c r="T75" s="127"/>
      <c r="U75" s="126"/>
      <c r="V75" s="126"/>
      <c r="W75" s="17">
        <f t="shared" si="7"/>
        <v>0</v>
      </c>
      <c r="X75" s="126"/>
      <c r="Y75" s="126">
        <v>2</v>
      </c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7">
        <f t="shared" si="9"/>
        <v>2</v>
      </c>
    </row>
    <row r="76" spans="1:36" ht="15" thickBot="1">
      <c r="A76" s="110" t="s">
        <v>131</v>
      </c>
      <c r="B76" s="103" t="s">
        <v>129</v>
      </c>
      <c r="C76" s="63"/>
      <c r="D76" s="63"/>
      <c r="E76" s="17">
        <v>8</v>
      </c>
      <c r="F76" s="49">
        <f>+E76+(K76+L76+M76)-(X76+Y76+Z76)</f>
        <v>8</v>
      </c>
      <c r="G76" s="17"/>
      <c r="H76" s="61">
        <f>+G76+(Q76+R76)-(AD76+AE76)</f>
        <v>0</v>
      </c>
      <c r="I76" s="50">
        <f>+G76+(Q76+R76+S76+T76)-(AD76+AE76+AF76+AG76)</f>
        <v>0</v>
      </c>
      <c r="J76" s="51"/>
      <c r="K76" s="126"/>
      <c r="L76" s="126"/>
      <c r="M76" s="126"/>
      <c r="N76" s="126"/>
      <c r="O76" s="126"/>
      <c r="P76" s="126"/>
      <c r="Q76" s="126"/>
      <c r="R76" s="126"/>
      <c r="S76" s="126"/>
      <c r="T76" s="127"/>
      <c r="U76" s="126"/>
      <c r="V76" s="126"/>
      <c r="W76" s="17">
        <f>SUM(K76:V76)</f>
        <v>0</v>
      </c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7">
        <f>SUM(X76:AI76)</f>
        <v>0</v>
      </c>
    </row>
    <row r="77" spans="1:36" ht="15" thickBot="1">
      <c r="A77" s="110" t="s">
        <v>131</v>
      </c>
      <c r="B77" s="103" t="s">
        <v>130</v>
      </c>
      <c r="C77" s="63"/>
      <c r="D77" s="63"/>
      <c r="E77" s="17">
        <v>14</v>
      </c>
      <c r="F77" s="49">
        <f>+E77+(K77+L77+M77)-(X77+Y77+Z77)</f>
        <v>14</v>
      </c>
      <c r="G77" s="17"/>
      <c r="H77" s="61">
        <f>+G77+(Q77+R77)-(AD77+AE77)</f>
        <v>0</v>
      </c>
      <c r="I77" s="50">
        <f>+G77+(Q77+R77+S77+T77)-(AD77+AE77+AF77+AG77)</f>
        <v>0</v>
      </c>
      <c r="J77" s="51"/>
      <c r="K77" s="126"/>
      <c r="L77" s="126"/>
      <c r="M77" s="126"/>
      <c r="N77" s="126"/>
      <c r="O77" s="126"/>
      <c r="P77" s="126"/>
      <c r="Q77" s="126"/>
      <c r="R77" s="126"/>
      <c r="S77" s="126"/>
      <c r="T77" s="127"/>
      <c r="U77" s="126"/>
      <c r="V77" s="126"/>
      <c r="W77" s="17">
        <f>SUM(K77:V77)</f>
        <v>0</v>
      </c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7">
        <f>SUM(X77:AI77)</f>
        <v>0</v>
      </c>
    </row>
    <row r="78" spans="1:39" ht="15" thickBot="1">
      <c r="A78" s="196" t="s">
        <v>204</v>
      </c>
      <c r="B78" s="197"/>
      <c r="C78" s="45">
        <f>+D78/Metas!M31</f>
        <v>0.9980869999168259</v>
      </c>
      <c r="D78" s="19">
        <f>+F78/AK78</f>
        <v>0.42917740996423515</v>
      </c>
      <c r="E78" s="14">
        <f aca="true" t="shared" si="29" ref="E78:K78">SUM(E73:E77)</f>
        <v>257</v>
      </c>
      <c r="F78" s="14">
        <f t="shared" si="29"/>
        <v>258</v>
      </c>
      <c r="G78" s="14">
        <f t="shared" si="29"/>
        <v>0</v>
      </c>
      <c r="H78" s="14">
        <f t="shared" si="29"/>
        <v>0</v>
      </c>
      <c r="I78" s="14">
        <f>SUM(I73:I77)</f>
        <v>0</v>
      </c>
      <c r="J78" s="14">
        <f t="shared" si="29"/>
        <v>0</v>
      </c>
      <c r="K78" s="14">
        <f t="shared" si="29"/>
        <v>2</v>
      </c>
      <c r="L78" s="14">
        <f aca="true" t="shared" si="30" ref="L78:V78">SUM(L73:L77)</f>
        <v>2</v>
      </c>
      <c r="M78" s="14">
        <f t="shared" si="30"/>
        <v>0</v>
      </c>
      <c r="N78" s="14">
        <f t="shared" si="30"/>
        <v>0</v>
      </c>
      <c r="O78" s="14">
        <f t="shared" si="30"/>
        <v>0</v>
      </c>
      <c r="P78" s="14">
        <f t="shared" si="30"/>
        <v>0</v>
      </c>
      <c r="Q78" s="14">
        <f t="shared" si="30"/>
        <v>0</v>
      </c>
      <c r="R78" s="14">
        <f t="shared" si="30"/>
        <v>0</v>
      </c>
      <c r="S78" s="14">
        <f t="shared" si="30"/>
        <v>0</v>
      </c>
      <c r="T78" s="14">
        <f t="shared" si="30"/>
        <v>0</v>
      </c>
      <c r="U78" s="14">
        <f t="shared" si="30"/>
        <v>0</v>
      </c>
      <c r="V78" s="14">
        <f t="shared" si="30"/>
        <v>0</v>
      </c>
      <c r="W78" s="14">
        <f aca="true" t="shared" si="31" ref="W78:W140">SUM(K78:V78)</f>
        <v>4</v>
      </c>
      <c r="X78" s="14">
        <f aca="true" t="shared" si="32" ref="X78:AI78">SUM(X73:X77)</f>
        <v>0</v>
      </c>
      <c r="Y78" s="14">
        <f t="shared" si="32"/>
        <v>3</v>
      </c>
      <c r="Z78" s="14">
        <f t="shared" si="32"/>
        <v>0</v>
      </c>
      <c r="AA78" s="14">
        <f t="shared" si="32"/>
        <v>0</v>
      </c>
      <c r="AB78" s="14">
        <f t="shared" si="32"/>
        <v>0</v>
      </c>
      <c r="AC78" s="14">
        <f t="shared" si="32"/>
        <v>0</v>
      </c>
      <c r="AD78" s="14">
        <f t="shared" si="32"/>
        <v>0</v>
      </c>
      <c r="AE78" s="14">
        <f t="shared" si="32"/>
        <v>0</v>
      </c>
      <c r="AF78" s="14">
        <f t="shared" si="32"/>
        <v>0</v>
      </c>
      <c r="AG78" s="14">
        <f t="shared" si="32"/>
        <v>0</v>
      </c>
      <c r="AH78" s="14">
        <f t="shared" si="32"/>
        <v>0</v>
      </c>
      <c r="AI78" s="14">
        <f t="shared" si="32"/>
        <v>0</v>
      </c>
      <c r="AJ78" s="14">
        <f aca="true" t="shared" si="33" ref="AJ78:AJ140">SUM(X78:AI78)</f>
        <v>3</v>
      </c>
      <c r="AK78" s="14">
        <f>+AL78+AM78</f>
        <v>601.1500000000001</v>
      </c>
      <c r="AL78" s="14">
        <f>3949*0.1</f>
        <v>394.90000000000003</v>
      </c>
      <c r="AM78" s="14">
        <f>825*0.25</f>
        <v>206.25</v>
      </c>
    </row>
    <row r="79" spans="1:36" ht="15" thickBot="1">
      <c r="A79" s="110" t="s">
        <v>142</v>
      </c>
      <c r="B79" s="103" t="s">
        <v>132</v>
      </c>
      <c r="C79" s="63"/>
      <c r="D79" s="63"/>
      <c r="E79" s="17">
        <v>273</v>
      </c>
      <c r="F79" s="49">
        <f aca="true" t="shared" si="34" ref="F79:F88">+E79+(K79+L79+M79)-(X79+Y79+Z79)</f>
        <v>279</v>
      </c>
      <c r="G79" s="17"/>
      <c r="H79" s="61">
        <f aca="true" t="shared" si="35" ref="H79:H88">+G79+(Q79+R79)-(AD79+AE79)</f>
        <v>0</v>
      </c>
      <c r="I79" s="50">
        <f aca="true" t="shared" si="36" ref="I79:I88">+G79+(Q79+R79+S79+T79)-(AD79+AE79+AF79+AG79)</f>
        <v>0</v>
      </c>
      <c r="J79" s="51"/>
      <c r="K79" s="126">
        <v>7</v>
      </c>
      <c r="L79" s="126">
        <v>1</v>
      </c>
      <c r="M79" s="126"/>
      <c r="N79" s="126"/>
      <c r="O79" s="126"/>
      <c r="P79" s="126"/>
      <c r="Q79" s="126"/>
      <c r="R79" s="126"/>
      <c r="S79" s="126"/>
      <c r="T79" s="127"/>
      <c r="U79" s="126"/>
      <c r="V79" s="126"/>
      <c r="W79" s="17">
        <f t="shared" si="31"/>
        <v>8</v>
      </c>
      <c r="X79" s="126">
        <v>1</v>
      </c>
      <c r="Y79" s="126">
        <v>1</v>
      </c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7">
        <f t="shared" si="33"/>
        <v>2</v>
      </c>
    </row>
    <row r="80" spans="1:38" ht="15" thickBot="1">
      <c r="A80" s="110" t="s">
        <v>142</v>
      </c>
      <c r="B80" s="103" t="s">
        <v>133</v>
      </c>
      <c r="C80" s="63"/>
      <c r="D80" s="63"/>
      <c r="E80" s="17">
        <v>37</v>
      </c>
      <c r="F80" s="49">
        <f t="shared" si="34"/>
        <v>37</v>
      </c>
      <c r="G80" s="17"/>
      <c r="H80" s="61">
        <f t="shared" si="35"/>
        <v>0</v>
      </c>
      <c r="I80" s="50">
        <f t="shared" si="36"/>
        <v>0</v>
      </c>
      <c r="J80" s="51"/>
      <c r="K80" s="126"/>
      <c r="L80" s="126"/>
      <c r="M80" s="126"/>
      <c r="N80" s="126"/>
      <c r="O80" s="126"/>
      <c r="P80" s="126"/>
      <c r="Q80" s="126"/>
      <c r="R80" s="126"/>
      <c r="S80" s="126"/>
      <c r="T80" s="127"/>
      <c r="U80" s="126"/>
      <c r="V80" s="126"/>
      <c r="W80" s="17">
        <f t="shared" si="31"/>
        <v>0</v>
      </c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7">
        <f t="shared" si="33"/>
        <v>0</v>
      </c>
      <c r="AL80" s="87"/>
    </row>
    <row r="81" spans="1:36" ht="15" thickBot="1">
      <c r="A81" s="110" t="s">
        <v>142</v>
      </c>
      <c r="B81" s="103" t="s">
        <v>134</v>
      </c>
      <c r="C81" s="63"/>
      <c r="D81" s="63"/>
      <c r="E81" s="17">
        <v>15</v>
      </c>
      <c r="F81" s="49">
        <f t="shared" si="34"/>
        <v>15</v>
      </c>
      <c r="G81" s="17"/>
      <c r="H81" s="61">
        <f t="shared" si="35"/>
        <v>0</v>
      </c>
      <c r="I81" s="50">
        <f t="shared" si="36"/>
        <v>0</v>
      </c>
      <c r="J81" s="51"/>
      <c r="K81" s="126"/>
      <c r="L81" s="126"/>
      <c r="M81" s="126"/>
      <c r="N81" s="126"/>
      <c r="O81" s="126"/>
      <c r="P81" s="126"/>
      <c r="Q81" s="126"/>
      <c r="R81" s="126"/>
      <c r="S81" s="126"/>
      <c r="T81" s="127"/>
      <c r="U81" s="126"/>
      <c r="V81" s="126"/>
      <c r="W81" s="17">
        <f t="shared" si="31"/>
        <v>0</v>
      </c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7">
        <f t="shared" si="33"/>
        <v>0</v>
      </c>
    </row>
    <row r="82" spans="1:36" ht="15" thickBot="1">
      <c r="A82" s="110" t="s">
        <v>142</v>
      </c>
      <c r="B82" s="103" t="s">
        <v>135</v>
      </c>
      <c r="C82" s="63"/>
      <c r="D82" s="63"/>
      <c r="E82" s="17">
        <v>65</v>
      </c>
      <c r="F82" s="49">
        <f t="shared" si="34"/>
        <v>61</v>
      </c>
      <c r="G82" s="17"/>
      <c r="H82" s="61">
        <f t="shared" si="35"/>
        <v>0</v>
      </c>
      <c r="I82" s="50">
        <f t="shared" si="36"/>
        <v>0</v>
      </c>
      <c r="J82" s="51"/>
      <c r="K82" s="126"/>
      <c r="L82" s="126"/>
      <c r="M82" s="126"/>
      <c r="N82" s="126"/>
      <c r="O82" s="126"/>
      <c r="P82" s="126"/>
      <c r="Q82" s="126"/>
      <c r="R82" s="126"/>
      <c r="S82" s="126"/>
      <c r="T82" s="127"/>
      <c r="U82" s="126"/>
      <c r="V82" s="126"/>
      <c r="W82" s="17">
        <f t="shared" si="31"/>
        <v>0</v>
      </c>
      <c r="X82" s="126">
        <v>3</v>
      </c>
      <c r="Y82" s="126">
        <v>1</v>
      </c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7">
        <f t="shared" si="33"/>
        <v>4</v>
      </c>
    </row>
    <row r="83" spans="1:36" ht="15" thickBot="1">
      <c r="A83" s="110" t="s">
        <v>142</v>
      </c>
      <c r="B83" s="103" t="s">
        <v>136</v>
      </c>
      <c r="C83" s="63"/>
      <c r="D83" s="63"/>
      <c r="E83" s="17">
        <v>42</v>
      </c>
      <c r="F83" s="49">
        <f t="shared" si="34"/>
        <v>42</v>
      </c>
      <c r="G83" s="17"/>
      <c r="H83" s="61">
        <f t="shared" si="35"/>
        <v>0</v>
      </c>
      <c r="I83" s="50">
        <f t="shared" si="36"/>
        <v>0</v>
      </c>
      <c r="J83" s="51"/>
      <c r="K83" s="126"/>
      <c r="L83" s="126"/>
      <c r="M83" s="126"/>
      <c r="N83" s="126"/>
      <c r="O83" s="126"/>
      <c r="P83" s="126"/>
      <c r="Q83" s="126"/>
      <c r="R83" s="126"/>
      <c r="S83" s="126"/>
      <c r="T83" s="127"/>
      <c r="U83" s="126"/>
      <c r="V83" s="126"/>
      <c r="W83" s="17">
        <f t="shared" si="31"/>
        <v>0</v>
      </c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7">
        <f t="shared" si="33"/>
        <v>0</v>
      </c>
    </row>
    <row r="84" spans="1:36" ht="15" thickBot="1">
      <c r="A84" s="110" t="s">
        <v>142</v>
      </c>
      <c r="B84" s="103" t="s">
        <v>137</v>
      </c>
      <c r="C84" s="63"/>
      <c r="D84" s="63"/>
      <c r="E84" s="17">
        <v>35</v>
      </c>
      <c r="F84" s="49">
        <f t="shared" si="34"/>
        <v>35</v>
      </c>
      <c r="G84" s="17"/>
      <c r="H84" s="61">
        <f t="shared" si="35"/>
        <v>0</v>
      </c>
      <c r="I84" s="50">
        <f t="shared" si="36"/>
        <v>0</v>
      </c>
      <c r="J84" s="51"/>
      <c r="K84" s="126">
        <v>1</v>
      </c>
      <c r="L84" s="126"/>
      <c r="M84" s="126"/>
      <c r="N84" s="126"/>
      <c r="O84" s="126"/>
      <c r="P84" s="126"/>
      <c r="Q84" s="126"/>
      <c r="R84" s="126"/>
      <c r="S84" s="126"/>
      <c r="T84" s="127"/>
      <c r="U84" s="126"/>
      <c r="V84" s="126"/>
      <c r="W84" s="17">
        <f t="shared" si="31"/>
        <v>1</v>
      </c>
      <c r="X84" s="126">
        <v>1</v>
      </c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7">
        <f t="shared" si="33"/>
        <v>1</v>
      </c>
    </row>
    <row r="85" spans="1:36" ht="15" thickBot="1">
      <c r="A85" s="110" t="s">
        <v>142</v>
      </c>
      <c r="B85" s="103" t="s">
        <v>138</v>
      </c>
      <c r="C85" s="63"/>
      <c r="D85" s="63"/>
      <c r="E85" s="17">
        <v>35</v>
      </c>
      <c r="F85" s="49">
        <f t="shared" si="34"/>
        <v>35</v>
      </c>
      <c r="G85" s="17"/>
      <c r="H85" s="61">
        <f t="shared" si="35"/>
        <v>0</v>
      </c>
      <c r="I85" s="50">
        <f t="shared" si="36"/>
        <v>0</v>
      </c>
      <c r="J85" s="51"/>
      <c r="K85" s="126"/>
      <c r="L85" s="126"/>
      <c r="M85" s="126"/>
      <c r="N85" s="126"/>
      <c r="O85" s="126"/>
      <c r="P85" s="126"/>
      <c r="Q85" s="126"/>
      <c r="R85" s="126"/>
      <c r="S85" s="126"/>
      <c r="T85" s="127"/>
      <c r="U85" s="126"/>
      <c r="V85" s="126"/>
      <c r="W85" s="17">
        <f t="shared" si="31"/>
        <v>0</v>
      </c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7">
        <f t="shared" si="33"/>
        <v>0</v>
      </c>
    </row>
    <row r="86" spans="1:36" ht="15" thickBot="1">
      <c r="A86" s="110" t="s">
        <v>142</v>
      </c>
      <c r="B86" s="103" t="s">
        <v>139</v>
      </c>
      <c r="C86" s="63"/>
      <c r="D86" s="63"/>
      <c r="E86" s="17">
        <v>43</v>
      </c>
      <c r="F86" s="49">
        <f t="shared" si="34"/>
        <v>43</v>
      </c>
      <c r="G86" s="17"/>
      <c r="H86" s="61">
        <f t="shared" si="35"/>
        <v>0</v>
      </c>
      <c r="I86" s="50">
        <f t="shared" si="36"/>
        <v>0</v>
      </c>
      <c r="J86" s="51"/>
      <c r="K86" s="126"/>
      <c r="L86" s="126"/>
      <c r="M86" s="126"/>
      <c r="N86" s="126"/>
      <c r="O86" s="126"/>
      <c r="P86" s="126"/>
      <c r="Q86" s="126"/>
      <c r="R86" s="126"/>
      <c r="S86" s="126"/>
      <c r="T86" s="127"/>
      <c r="U86" s="126"/>
      <c r="V86" s="126"/>
      <c r="W86" s="17">
        <f t="shared" si="31"/>
        <v>0</v>
      </c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7">
        <f t="shared" si="33"/>
        <v>0</v>
      </c>
    </row>
    <row r="87" spans="1:36" ht="15" thickBot="1">
      <c r="A87" s="110" t="s">
        <v>142</v>
      </c>
      <c r="B87" s="103" t="s">
        <v>140</v>
      </c>
      <c r="C87" s="63"/>
      <c r="D87" s="63"/>
      <c r="E87" s="17">
        <v>22</v>
      </c>
      <c r="F87" s="49">
        <f t="shared" si="34"/>
        <v>22</v>
      </c>
      <c r="G87" s="17"/>
      <c r="H87" s="61">
        <f t="shared" si="35"/>
        <v>0</v>
      </c>
      <c r="I87" s="50">
        <f t="shared" si="36"/>
        <v>0</v>
      </c>
      <c r="J87" s="51"/>
      <c r="K87" s="126"/>
      <c r="L87" s="126"/>
      <c r="M87" s="126"/>
      <c r="N87" s="126"/>
      <c r="O87" s="126"/>
      <c r="P87" s="126"/>
      <c r="Q87" s="126"/>
      <c r="R87" s="126"/>
      <c r="S87" s="126"/>
      <c r="T87" s="127"/>
      <c r="U87" s="126"/>
      <c r="V87" s="126"/>
      <c r="W87" s="17">
        <f t="shared" si="31"/>
        <v>0</v>
      </c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7">
        <f t="shared" si="33"/>
        <v>0</v>
      </c>
    </row>
    <row r="88" spans="1:36" ht="15" thickBot="1">
      <c r="A88" s="110" t="s">
        <v>142</v>
      </c>
      <c r="B88" s="103" t="s">
        <v>141</v>
      </c>
      <c r="C88" s="63"/>
      <c r="D88" s="63"/>
      <c r="E88" s="17">
        <v>60</v>
      </c>
      <c r="F88" s="49">
        <f t="shared" si="34"/>
        <v>59</v>
      </c>
      <c r="G88" s="17"/>
      <c r="H88" s="61">
        <f t="shared" si="35"/>
        <v>0</v>
      </c>
      <c r="I88" s="50">
        <f t="shared" si="36"/>
        <v>0</v>
      </c>
      <c r="J88" s="51"/>
      <c r="K88" s="126"/>
      <c r="L88" s="126"/>
      <c r="M88" s="126"/>
      <c r="N88" s="126"/>
      <c r="O88" s="126"/>
      <c r="P88" s="126"/>
      <c r="Q88" s="126"/>
      <c r="R88" s="126"/>
      <c r="S88" s="126"/>
      <c r="T88" s="127"/>
      <c r="U88" s="126"/>
      <c r="V88" s="126"/>
      <c r="W88" s="17">
        <f t="shared" si="31"/>
        <v>0</v>
      </c>
      <c r="X88" s="126"/>
      <c r="Y88" s="126">
        <v>1</v>
      </c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7">
        <f t="shared" si="33"/>
        <v>1</v>
      </c>
    </row>
    <row r="89" spans="1:39" ht="15" thickBot="1">
      <c r="A89" s="196" t="s">
        <v>205</v>
      </c>
      <c r="B89" s="197"/>
      <c r="C89" s="45">
        <f>+D89/Metas!M36</f>
        <v>0.9714587582498581</v>
      </c>
      <c r="D89" s="19">
        <f>+F89/AK89</f>
        <v>0.49544396670742763</v>
      </c>
      <c r="E89" s="14">
        <f aca="true" t="shared" si="37" ref="E89:K89">SUM(E79:E88)</f>
        <v>627</v>
      </c>
      <c r="F89" s="14">
        <f t="shared" si="37"/>
        <v>628</v>
      </c>
      <c r="G89" s="14">
        <f t="shared" si="37"/>
        <v>0</v>
      </c>
      <c r="H89" s="14">
        <f t="shared" si="37"/>
        <v>0</v>
      </c>
      <c r="I89" s="14">
        <f>SUM(I79:I88)</f>
        <v>0</v>
      </c>
      <c r="J89" s="14">
        <f t="shared" si="37"/>
        <v>0</v>
      </c>
      <c r="K89" s="14">
        <f t="shared" si="37"/>
        <v>8</v>
      </c>
      <c r="L89" s="14">
        <f aca="true" t="shared" si="38" ref="L89:V89">SUM(L79:L88)</f>
        <v>1</v>
      </c>
      <c r="M89" s="14">
        <f t="shared" si="38"/>
        <v>0</v>
      </c>
      <c r="N89" s="14">
        <f t="shared" si="38"/>
        <v>0</v>
      </c>
      <c r="O89" s="14">
        <f t="shared" si="38"/>
        <v>0</v>
      </c>
      <c r="P89" s="14">
        <f t="shared" si="38"/>
        <v>0</v>
      </c>
      <c r="Q89" s="14">
        <f t="shared" si="38"/>
        <v>0</v>
      </c>
      <c r="R89" s="14">
        <f t="shared" si="38"/>
        <v>0</v>
      </c>
      <c r="S89" s="14">
        <f t="shared" si="38"/>
        <v>0</v>
      </c>
      <c r="T89" s="14">
        <f t="shared" si="38"/>
        <v>0</v>
      </c>
      <c r="U89" s="14">
        <f t="shared" si="38"/>
        <v>0</v>
      </c>
      <c r="V89" s="14">
        <f t="shared" si="38"/>
        <v>0</v>
      </c>
      <c r="W89" s="14">
        <f t="shared" si="31"/>
        <v>9</v>
      </c>
      <c r="X89" s="14">
        <f aca="true" t="shared" si="39" ref="X89:AI89">SUM(X79:X88)</f>
        <v>5</v>
      </c>
      <c r="Y89" s="14">
        <f t="shared" si="39"/>
        <v>3</v>
      </c>
      <c r="Z89" s="14">
        <f t="shared" si="39"/>
        <v>0</v>
      </c>
      <c r="AA89" s="14">
        <f t="shared" si="39"/>
        <v>0</v>
      </c>
      <c r="AB89" s="14">
        <f t="shared" si="39"/>
        <v>0</v>
      </c>
      <c r="AC89" s="14">
        <f t="shared" si="39"/>
        <v>0</v>
      </c>
      <c r="AD89" s="14">
        <f t="shared" si="39"/>
        <v>0</v>
      </c>
      <c r="AE89" s="14">
        <f t="shared" si="39"/>
        <v>0</v>
      </c>
      <c r="AF89" s="14">
        <f t="shared" si="39"/>
        <v>0</v>
      </c>
      <c r="AG89" s="14">
        <f t="shared" si="39"/>
        <v>0</v>
      </c>
      <c r="AH89" s="14">
        <f t="shared" si="39"/>
        <v>0</v>
      </c>
      <c r="AI89" s="14">
        <f t="shared" si="39"/>
        <v>0</v>
      </c>
      <c r="AJ89" s="14">
        <f t="shared" si="33"/>
        <v>8</v>
      </c>
      <c r="AK89" s="14">
        <f>+AL89+AM89</f>
        <v>1267.5500000000002</v>
      </c>
      <c r="AL89" s="14">
        <f>8573*0.1</f>
        <v>857.3000000000001</v>
      </c>
      <c r="AM89" s="14">
        <f>1641*0.25</f>
        <v>410.25</v>
      </c>
    </row>
    <row r="90" spans="1:36" ht="15" thickBot="1">
      <c r="A90" s="110" t="s">
        <v>159</v>
      </c>
      <c r="B90" s="103" t="s">
        <v>143</v>
      </c>
      <c r="C90" s="63"/>
      <c r="D90" s="63"/>
      <c r="E90" s="17">
        <v>253</v>
      </c>
      <c r="F90" s="49">
        <f aca="true" t="shared" si="40" ref="F90:F105">+E90+(K90+L90+M90)-(X90+Y90+Z90)</f>
        <v>254</v>
      </c>
      <c r="G90" s="17"/>
      <c r="H90" s="61">
        <f aca="true" t="shared" si="41" ref="H90:H105">+G90+(Q90+R90)-(AD90+AE90)</f>
        <v>0</v>
      </c>
      <c r="I90" s="50">
        <f aca="true" t="shared" si="42" ref="I90:I105">+G90+(Q90+R90+S90+T90)-(AD90+AE90+AF90+AG90)</f>
        <v>0</v>
      </c>
      <c r="J90" s="51"/>
      <c r="K90" s="126"/>
      <c r="L90" s="126">
        <v>2</v>
      </c>
      <c r="M90" s="126"/>
      <c r="N90" s="126"/>
      <c r="O90" s="126"/>
      <c r="P90" s="126"/>
      <c r="Q90" s="126"/>
      <c r="R90" s="126"/>
      <c r="S90" s="126"/>
      <c r="T90" s="127"/>
      <c r="U90" s="126"/>
      <c r="V90" s="126"/>
      <c r="W90" s="17">
        <f t="shared" si="31"/>
        <v>2</v>
      </c>
      <c r="X90" s="126"/>
      <c r="Y90" s="126">
        <v>1</v>
      </c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7">
        <f t="shared" si="33"/>
        <v>1</v>
      </c>
    </row>
    <row r="91" spans="1:36" ht="15" thickBot="1">
      <c r="A91" s="110" t="s">
        <v>159</v>
      </c>
      <c r="B91" s="103" t="s">
        <v>144</v>
      </c>
      <c r="C91" s="63"/>
      <c r="D91" s="63"/>
      <c r="E91" s="17">
        <v>1233</v>
      </c>
      <c r="F91" s="49">
        <f t="shared" si="40"/>
        <v>1250</v>
      </c>
      <c r="G91" s="17"/>
      <c r="H91" s="61">
        <f t="shared" si="41"/>
        <v>0</v>
      </c>
      <c r="I91" s="50">
        <f t="shared" si="42"/>
        <v>0</v>
      </c>
      <c r="J91" s="51"/>
      <c r="K91" s="126">
        <v>14</v>
      </c>
      <c r="L91" s="126">
        <v>6</v>
      </c>
      <c r="M91" s="126"/>
      <c r="N91" s="126"/>
      <c r="O91" s="126"/>
      <c r="P91" s="126"/>
      <c r="Q91" s="126"/>
      <c r="R91" s="126"/>
      <c r="S91" s="126"/>
      <c r="T91" s="127"/>
      <c r="U91" s="126"/>
      <c r="V91" s="126"/>
      <c r="W91" s="17">
        <f t="shared" si="31"/>
        <v>20</v>
      </c>
      <c r="X91" s="126">
        <v>2</v>
      </c>
      <c r="Y91" s="126">
        <v>1</v>
      </c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7">
        <f t="shared" si="33"/>
        <v>3</v>
      </c>
    </row>
    <row r="92" spans="1:36" ht="15" thickBot="1">
      <c r="A92" s="110" t="s">
        <v>159</v>
      </c>
      <c r="B92" s="103" t="s">
        <v>145</v>
      </c>
      <c r="C92" s="63"/>
      <c r="D92" s="63"/>
      <c r="E92" s="17">
        <v>1683</v>
      </c>
      <c r="F92" s="49">
        <f t="shared" si="40"/>
        <v>1717</v>
      </c>
      <c r="G92" s="17"/>
      <c r="H92" s="61">
        <f t="shared" si="41"/>
        <v>0</v>
      </c>
      <c r="I92" s="50">
        <f t="shared" si="42"/>
        <v>0</v>
      </c>
      <c r="J92" s="51"/>
      <c r="K92" s="126">
        <v>19</v>
      </c>
      <c r="L92" s="126">
        <v>17</v>
      </c>
      <c r="M92" s="126"/>
      <c r="N92" s="126"/>
      <c r="O92" s="126"/>
      <c r="P92" s="126"/>
      <c r="Q92" s="126"/>
      <c r="R92" s="126"/>
      <c r="S92" s="126"/>
      <c r="T92" s="127"/>
      <c r="U92" s="126"/>
      <c r="V92" s="126"/>
      <c r="W92" s="17">
        <f t="shared" si="31"/>
        <v>36</v>
      </c>
      <c r="X92" s="126">
        <v>2</v>
      </c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7">
        <f t="shared" si="33"/>
        <v>2</v>
      </c>
    </row>
    <row r="93" spans="1:36" ht="15" thickBot="1">
      <c r="A93" s="110" t="s">
        <v>159</v>
      </c>
      <c r="B93" s="103" t="s">
        <v>146</v>
      </c>
      <c r="C93" s="63"/>
      <c r="D93" s="63"/>
      <c r="E93" s="17">
        <v>293</v>
      </c>
      <c r="F93" s="49">
        <f t="shared" si="40"/>
        <v>300</v>
      </c>
      <c r="G93" s="17"/>
      <c r="H93" s="61">
        <f t="shared" si="41"/>
        <v>0</v>
      </c>
      <c r="I93" s="50">
        <f t="shared" si="42"/>
        <v>0</v>
      </c>
      <c r="J93" s="51"/>
      <c r="K93" s="126">
        <v>1</v>
      </c>
      <c r="L93" s="126">
        <v>6</v>
      </c>
      <c r="M93" s="126"/>
      <c r="N93" s="126"/>
      <c r="O93" s="126"/>
      <c r="P93" s="126"/>
      <c r="Q93" s="126"/>
      <c r="R93" s="126"/>
      <c r="S93" s="126"/>
      <c r="T93" s="127"/>
      <c r="U93" s="126"/>
      <c r="V93" s="126"/>
      <c r="W93" s="17">
        <f t="shared" si="31"/>
        <v>7</v>
      </c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7">
        <f t="shared" si="33"/>
        <v>0</v>
      </c>
    </row>
    <row r="94" spans="1:36" ht="15" thickBot="1">
      <c r="A94" s="110" t="s">
        <v>159</v>
      </c>
      <c r="B94" s="103" t="s">
        <v>147</v>
      </c>
      <c r="C94" s="63"/>
      <c r="D94" s="63"/>
      <c r="E94" s="17">
        <v>77</v>
      </c>
      <c r="F94" s="49">
        <f t="shared" si="40"/>
        <v>76</v>
      </c>
      <c r="G94" s="17"/>
      <c r="H94" s="61">
        <f t="shared" si="41"/>
        <v>0</v>
      </c>
      <c r="I94" s="50">
        <f t="shared" si="42"/>
        <v>0</v>
      </c>
      <c r="J94" s="51"/>
      <c r="K94" s="126"/>
      <c r="L94" s="126"/>
      <c r="M94" s="126"/>
      <c r="N94" s="126"/>
      <c r="O94" s="126"/>
      <c r="P94" s="126"/>
      <c r="Q94" s="126"/>
      <c r="R94" s="126"/>
      <c r="S94" s="126"/>
      <c r="T94" s="127"/>
      <c r="U94" s="126"/>
      <c r="V94" s="126"/>
      <c r="W94" s="17">
        <f t="shared" si="31"/>
        <v>0</v>
      </c>
      <c r="X94" s="126">
        <v>1</v>
      </c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7">
        <f t="shared" si="33"/>
        <v>1</v>
      </c>
    </row>
    <row r="95" spans="1:36" ht="15" thickBot="1">
      <c r="A95" s="110" t="s">
        <v>159</v>
      </c>
      <c r="B95" s="103" t="s">
        <v>148</v>
      </c>
      <c r="C95" s="63"/>
      <c r="D95" s="63"/>
      <c r="E95" s="17">
        <v>89</v>
      </c>
      <c r="F95" s="49">
        <f t="shared" si="40"/>
        <v>89</v>
      </c>
      <c r="G95" s="17"/>
      <c r="H95" s="61">
        <f t="shared" si="41"/>
        <v>0</v>
      </c>
      <c r="I95" s="50">
        <f t="shared" si="42"/>
        <v>0</v>
      </c>
      <c r="J95" s="51"/>
      <c r="K95" s="126"/>
      <c r="L95" s="126"/>
      <c r="M95" s="126"/>
      <c r="N95" s="126"/>
      <c r="O95" s="126"/>
      <c r="P95" s="126"/>
      <c r="Q95" s="126"/>
      <c r="R95" s="126"/>
      <c r="S95" s="126"/>
      <c r="T95" s="127"/>
      <c r="U95" s="126"/>
      <c r="V95" s="126"/>
      <c r="W95" s="17">
        <f t="shared" si="31"/>
        <v>0</v>
      </c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7">
        <f t="shared" si="33"/>
        <v>0</v>
      </c>
    </row>
    <row r="96" spans="1:36" ht="15" thickBot="1">
      <c r="A96" s="110" t="s">
        <v>159</v>
      </c>
      <c r="B96" s="103" t="s">
        <v>149</v>
      </c>
      <c r="C96" s="63"/>
      <c r="D96" s="63"/>
      <c r="E96" s="17">
        <v>32</v>
      </c>
      <c r="F96" s="49">
        <f t="shared" si="40"/>
        <v>30</v>
      </c>
      <c r="G96" s="17"/>
      <c r="H96" s="61">
        <f t="shared" si="41"/>
        <v>0</v>
      </c>
      <c r="I96" s="50">
        <f t="shared" si="42"/>
        <v>0</v>
      </c>
      <c r="J96" s="51"/>
      <c r="K96" s="126"/>
      <c r="L96" s="126">
        <v>1</v>
      </c>
      <c r="M96" s="126"/>
      <c r="N96" s="126"/>
      <c r="O96" s="126"/>
      <c r="P96" s="126"/>
      <c r="Q96" s="126"/>
      <c r="R96" s="126"/>
      <c r="S96" s="126"/>
      <c r="T96" s="127"/>
      <c r="U96" s="126"/>
      <c r="V96" s="126"/>
      <c r="W96" s="17">
        <f t="shared" si="31"/>
        <v>1</v>
      </c>
      <c r="X96" s="126">
        <v>1</v>
      </c>
      <c r="Y96" s="126">
        <v>2</v>
      </c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7">
        <f t="shared" si="33"/>
        <v>3</v>
      </c>
    </row>
    <row r="97" spans="1:36" ht="15" thickBot="1">
      <c r="A97" s="110" t="s">
        <v>159</v>
      </c>
      <c r="B97" s="103" t="s">
        <v>150</v>
      </c>
      <c r="C97" s="63"/>
      <c r="D97" s="63"/>
      <c r="E97" s="17">
        <v>43</v>
      </c>
      <c r="F97" s="49">
        <f t="shared" si="40"/>
        <v>43</v>
      </c>
      <c r="G97" s="17"/>
      <c r="H97" s="61">
        <f t="shared" si="41"/>
        <v>0</v>
      </c>
      <c r="I97" s="50">
        <f t="shared" si="42"/>
        <v>0</v>
      </c>
      <c r="J97" s="51"/>
      <c r="K97" s="126"/>
      <c r="L97" s="126"/>
      <c r="M97" s="126"/>
      <c r="N97" s="126"/>
      <c r="O97" s="126"/>
      <c r="P97" s="126"/>
      <c r="Q97" s="126"/>
      <c r="R97" s="126"/>
      <c r="S97" s="126"/>
      <c r="T97" s="127"/>
      <c r="U97" s="126"/>
      <c r="V97" s="126"/>
      <c r="W97" s="17">
        <f t="shared" si="31"/>
        <v>0</v>
      </c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7">
        <f t="shared" si="33"/>
        <v>0</v>
      </c>
    </row>
    <row r="98" spans="1:36" ht="15" thickBot="1">
      <c r="A98" s="110" t="s">
        <v>159</v>
      </c>
      <c r="B98" s="103" t="s">
        <v>151</v>
      </c>
      <c r="C98" s="63"/>
      <c r="D98" s="63"/>
      <c r="E98" s="17">
        <v>111</v>
      </c>
      <c r="F98" s="49">
        <f t="shared" si="40"/>
        <v>113</v>
      </c>
      <c r="G98" s="17"/>
      <c r="H98" s="61">
        <f t="shared" si="41"/>
        <v>0</v>
      </c>
      <c r="I98" s="50">
        <f t="shared" si="42"/>
        <v>0</v>
      </c>
      <c r="J98" s="51"/>
      <c r="K98" s="126">
        <v>1</v>
      </c>
      <c r="L98" s="126">
        <v>1</v>
      </c>
      <c r="M98" s="126"/>
      <c r="N98" s="126"/>
      <c r="O98" s="126"/>
      <c r="P98" s="126"/>
      <c r="Q98" s="126"/>
      <c r="R98" s="126"/>
      <c r="S98" s="126"/>
      <c r="T98" s="127"/>
      <c r="U98" s="126"/>
      <c r="V98" s="126"/>
      <c r="W98" s="17">
        <f t="shared" si="31"/>
        <v>2</v>
      </c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7">
        <f t="shared" si="33"/>
        <v>0</v>
      </c>
    </row>
    <row r="99" spans="1:36" ht="15" thickBot="1">
      <c r="A99" s="110" t="s">
        <v>159</v>
      </c>
      <c r="B99" s="103" t="s">
        <v>152</v>
      </c>
      <c r="C99" s="63"/>
      <c r="D99" s="63"/>
      <c r="E99" s="17">
        <v>23</v>
      </c>
      <c r="F99" s="49">
        <f t="shared" si="40"/>
        <v>23</v>
      </c>
      <c r="G99" s="17"/>
      <c r="H99" s="61">
        <f t="shared" si="41"/>
        <v>0</v>
      </c>
      <c r="I99" s="50">
        <f t="shared" si="42"/>
        <v>0</v>
      </c>
      <c r="J99" s="51"/>
      <c r="K99" s="126"/>
      <c r="L99" s="126"/>
      <c r="M99" s="126"/>
      <c r="N99" s="126"/>
      <c r="O99" s="126"/>
      <c r="P99" s="126"/>
      <c r="Q99" s="126"/>
      <c r="R99" s="126"/>
      <c r="S99" s="126"/>
      <c r="T99" s="127"/>
      <c r="U99" s="126"/>
      <c r="V99" s="126"/>
      <c r="W99" s="17">
        <f t="shared" si="31"/>
        <v>0</v>
      </c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7">
        <f t="shared" si="33"/>
        <v>0</v>
      </c>
    </row>
    <row r="100" spans="1:36" ht="15" thickBot="1">
      <c r="A100" s="110" t="s">
        <v>159</v>
      </c>
      <c r="B100" s="103" t="s">
        <v>153</v>
      </c>
      <c r="C100" s="63"/>
      <c r="D100" s="63"/>
      <c r="E100" s="17">
        <v>33</v>
      </c>
      <c r="F100" s="49">
        <f t="shared" si="40"/>
        <v>34</v>
      </c>
      <c r="G100" s="17"/>
      <c r="H100" s="61">
        <f t="shared" si="41"/>
        <v>0</v>
      </c>
      <c r="I100" s="50">
        <f t="shared" si="42"/>
        <v>0</v>
      </c>
      <c r="J100" s="51"/>
      <c r="K100" s="126">
        <v>1</v>
      </c>
      <c r="L100" s="126"/>
      <c r="M100" s="126"/>
      <c r="N100" s="126"/>
      <c r="O100" s="126"/>
      <c r="P100" s="126"/>
      <c r="Q100" s="126"/>
      <c r="R100" s="126"/>
      <c r="S100" s="126"/>
      <c r="T100" s="127"/>
      <c r="U100" s="126"/>
      <c r="V100" s="126"/>
      <c r="W100" s="17">
        <f t="shared" si="31"/>
        <v>1</v>
      </c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7">
        <f t="shared" si="33"/>
        <v>0</v>
      </c>
    </row>
    <row r="101" spans="1:36" ht="15" thickBot="1">
      <c r="A101" s="110" t="s">
        <v>159</v>
      </c>
      <c r="B101" s="103" t="s">
        <v>154</v>
      </c>
      <c r="C101" s="63"/>
      <c r="D101" s="63"/>
      <c r="E101" s="17">
        <v>16</v>
      </c>
      <c r="F101" s="49">
        <f t="shared" si="40"/>
        <v>15</v>
      </c>
      <c r="G101" s="17"/>
      <c r="H101" s="61">
        <f t="shared" si="41"/>
        <v>0</v>
      </c>
      <c r="I101" s="50">
        <f t="shared" si="42"/>
        <v>0</v>
      </c>
      <c r="J101" s="5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7"/>
      <c r="U101" s="126"/>
      <c r="V101" s="126"/>
      <c r="W101" s="17">
        <f t="shared" si="31"/>
        <v>0</v>
      </c>
      <c r="X101" s="126">
        <v>1</v>
      </c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7">
        <f t="shared" si="33"/>
        <v>1</v>
      </c>
    </row>
    <row r="102" spans="1:36" ht="15" thickBot="1">
      <c r="A102" s="110" t="s">
        <v>159</v>
      </c>
      <c r="B102" s="103" t="s">
        <v>155</v>
      </c>
      <c r="C102" s="63"/>
      <c r="D102" s="63"/>
      <c r="E102" s="17">
        <v>103</v>
      </c>
      <c r="F102" s="49">
        <f t="shared" si="40"/>
        <v>106</v>
      </c>
      <c r="G102" s="17"/>
      <c r="H102" s="61">
        <f t="shared" si="41"/>
        <v>0</v>
      </c>
      <c r="I102" s="50">
        <f t="shared" si="42"/>
        <v>0</v>
      </c>
      <c r="J102" s="51"/>
      <c r="K102" s="126">
        <v>3</v>
      </c>
      <c r="L102" s="126"/>
      <c r="M102" s="126"/>
      <c r="N102" s="126"/>
      <c r="O102" s="126"/>
      <c r="P102" s="126"/>
      <c r="Q102" s="126"/>
      <c r="R102" s="126"/>
      <c r="S102" s="126"/>
      <c r="T102" s="127"/>
      <c r="U102" s="126"/>
      <c r="V102" s="126"/>
      <c r="W102" s="17">
        <f t="shared" si="31"/>
        <v>3</v>
      </c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7">
        <f t="shared" si="33"/>
        <v>0</v>
      </c>
    </row>
    <row r="103" spans="1:36" ht="15" thickBot="1">
      <c r="A103" s="110" t="s">
        <v>159</v>
      </c>
      <c r="B103" s="103" t="s">
        <v>156</v>
      </c>
      <c r="C103" s="63"/>
      <c r="D103" s="63"/>
      <c r="E103" s="17">
        <v>77</v>
      </c>
      <c r="F103" s="49">
        <f t="shared" si="40"/>
        <v>79</v>
      </c>
      <c r="G103" s="17"/>
      <c r="H103" s="61">
        <f t="shared" si="41"/>
        <v>0</v>
      </c>
      <c r="I103" s="50">
        <f t="shared" si="42"/>
        <v>0</v>
      </c>
      <c r="J103" s="51"/>
      <c r="K103" s="126"/>
      <c r="L103" s="126">
        <v>2</v>
      </c>
      <c r="M103" s="126"/>
      <c r="N103" s="126"/>
      <c r="O103" s="126"/>
      <c r="P103" s="126"/>
      <c r="Q103" s="126"/>
      <c r="R103" s="126"/>
      <c r="S103" s="126"/>
      <c r="T103" s="127"/>
      <c r="U103" s="126"/>
      <c r="V103" s="126"/>
      <c r="W103" s="17">
        <f t="shared" si="31"/>
        <v>2</v>
      </c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7">
        <f t="shared" si="33"/>
        <v>0</v>
      </c>
    </row>
    <row r="104" spans="1:36" ht="15" thickBot="1">
      <c r="A104" s="110" t="s">
        <v>159</v>
      </c>
      <c r="B104" s="103" t="s">
        <v>157</v>
      </c>
      <c r="C104" s="63"/>
      <c r="D104" s="63"/>
      <c r="E104" s="17">
        <v>270</v>
      </c>
      <c r="F104" s="49">
        <f t="shared" si="40"/>
        <v>272</v>
      </c>
      <c r="G104" s="17"/>
      <c r="H104" s="61">
        <f t="shared" si="41"/>
        <v>0</v>
      </c>
      <c r="I104" s="50">
        <f t="shared" si="42"/>
        <v>0</v>
      </c>
      <c r="J104" s="51"/>
      <c r="K104" s="126">
        <v>2</v>
      </c>
      <c r="L104" s="126">
        <v>4</v>
      </c>
      <c r="M104" s="126"/>
      <c r="N104" s="126"/>
      <c r="O104" s="126"/>
      <c r="P104" s="126"/>
      <c r="Q104" s="126"/>
      <c r="R104" s="126"/>
      <c r="S104" s="126"/>
      <c r="T104" s="127"/>
      <c r="U104" s="126"/>
      <c r="V104" s="126"/>
      <c r="W104" s="17">
        <f t="shared" si="31"/>
        <v>6</v>
      </c>
      <c r="X104" s="126">
        <v>1</v>
      </c>
      <c r="Y104" s="126">
        <v>3</v>
      </c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7">
        <f t="shared" si="33"/>
        <v>4</v>
      </c>
    </row>
    <row r="105" spans="1:36" ht="15" thickBot="1">
      <c r="A105" s="110" t="s">
        <v>159</v>
      </c>
      <c r="B105" s="103" t="s">
        <v>158</v>
      </c>
      <c r="C105" s="63"/>
      <c r="D105" s="63"/>
      <c r="E105" s="17">
        <v>303</v>
      </c>
      <c r="F105" s="49">
        <f t="shared" si="40"/>
        <v>306</v>
      </c>
      <c r="G105" s="17"/>
      <c r="H105" s="61">
        <f t="shared" si="41"/>
        <v>0</v>
      </c>
      <c r="I105" s="50">
        <f t="shared" si="42"/>
        <v>0</v>
      </c>
      <c r="J105" s="51"/>
      <c r="K105" s="126">
        <v>3</v>
      </c>
      <c r="L105" s="126">
        <v>3</v>
      </c>
      <c r="M105" s="126"/>
      <c r="N105" s="126"/>
      <c r="O105" s="126"/>
      <c r="P105" s="126"/>
      <c r="Q105" s="126"/>
      <c r="R105" s="126"/>
      <c r="S105" s="126"/>
      <c r="T105" s="127"/>
      <c r="U105" s="126"/>
      <c r="V105" s="126"/>
      <c r="W105" s="17">
        <f t="shared" si="31"/>
        <v>6</v>
      </c>
      <c r="X105" s="126"/>
      <c r="Y105" s="126">
        <v>3</v>
      </c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7">
        <f t="shared" si="33"/>
        <v>3</v>
      </c>
    </row>
    <row r="106" spans="1:39" ht="30" customHeight="1" thickBot="1">
      <c r="A106" s="196" t="s">
        <v>206</v>
      </c>
      <c r="B106" s="197"/>
      <c r="C106" s="45">
        <f>+D106/Metas!M33</f>
        <v>0.9844232329738908</v>
      </c>
      <c r="D106" s="19">
        <f>+F106/AK106</f>
        <v>0.54143277813564</v>
      </c>
      <c r="E106" s="14">
        <f aca="true" t="shared" si="43" ref="E106:K106">SUM(E90:E105)</f>
        <v>4639</v>
      </c>
      <c r="F106" s="14">
        <f t="shared" si="43"/>
        <v>4707</v>
      </c>
      <c r="G106" s="14">
        <f t="shared" si="43"/>
        <v>0</v>
      </c>
      <c r="H106" s="14">
        <f t="shared" si="43"/>
        <v>0</v>
      </c>
      <c r="I106" s="14">
        <f>SUM(I90:I105)</f>
        <v>0</v>
      </c>
      <c r="J106" s="14">
        <f t="shared" si="43"/>
        <v>0</v>
      </c>
      <c r="K106" s="14">
        <f t="shared" si="43"/>
        <v>44</v>
      </c>
      <c r="L106" s="14">
        <f aca="true" t="shared" si="44" ref="L106:V106">SUM(L90:L105)</f>
        <v>42</v>
      </c>
      <c r="M106" s="14">
        <f t="shared" si="44"/>
        <v>0</v>
      </c>
      <c r="N106" s="14">
        <f t="shared" si="44"/>
        <v>0</v>
      </c>
      <c r="O106" s="14">
        <f t="shared" si="44"/>
        <v>0</v>
      </c>
      <c r="P106" s="14">
        <f t="shared" si="44"/>
        <v>0</v>
      </c>
      <c r="Q106" s="14">
        <f t="shared" si="44"/>
        <v>0</v>
      </c>
      <c r="R106" s="14">
        <f t="shared" si="44"/>
        <v>0</v>
      </c>
      <c r="S106" s="14">
        <f t="shared" si="44"/>
        <v>0</v>
      </c>
      <c r="T106" s="14">
        <f t="shared" si="44"/>
        <v>0</v>
      </c>
      <c r="U106" s="14">
        <f t="shared" si="44"/>
        <v>0</v>
      </c>
      <c r="V106" s="14">
        <f t="shared" si="44"/>
        <v>0</v>
      </c>
      <c r="W106" s="14">
        <f t="shared" si="31"/>
        <v>86</v>
      </c>
      <c r="X106" s="14">
        <f aca="true" t="shared" si="45" ref="X106:AI106">SUM(X90:X105)</f>
        <v>8</v>
      </c>
      <c r="Y106" s="14">
        <f t="shared" si="45"/>
        <v>10</v>
      </c>
      <c r="Z106" s="14">
        <f t="shared" si="45"/>
        <v>0</v>
      </c>
      <c r="AA106" s="14">
        <f t="shared" si="45"/>
        <v>0</v>
      </c>
      <c r="AB106" s="14">
        <f t="shared" si="45"/>
        <v>0</v>
      </c>
      <c r="AC106" s="14">
        <f t="shared" si="45"/>
        <v>0</v>
      </c>
      <c r="AD106" s="14">
        <f t="shared" si="45"/>
        <v>0</v>
      </c>
      <c r="AE106" s="14">
        <f t="shared" si="45"/>
        <v>0</v>
      </c>
      <c r="AF106" s="14">
        <f t="shared" si="45"/>
        <v>0</v>
      </c>
      <c r="AG106" s="14">
        <f t="shared" si="45"/>
        <v>0</v>
      </c>
      <c r="AH106" s="14">
        <f t="shared" si="45"/>
        <v>0</v>
      </c>
      <c r="AI106" s="14">
        <f t="shared" si="45"/>
        <v>0</v>
      </c>
      <c r="AJ106" s="14">
        <f t="shared" si="33"/>
        <v>18</v>
      </c>
      <c r="AK106" s="14">
        <f>+AL106+AM106</f>
        <v>8693.6</v>
      </c>
      <c r="AL106" s="14">
        <f>59476*0.1</f>
        <v>5947.6</v>
      </c>
      <c r="AM106" s="14">
        <f>10984*0.25</f>
        <v>2746</v>
      </c>
    </row>
    <row r="107" spans="1:36" ht="15" thickBot="1">
      <c r="A107" s="110" t="s">
        <v>172</v>
      </c>
      <c r="B107" s="103" t="s">
        <v>160</v>
      </c>
      <c r="C107" s="63"/>
      <c r="D107" s="63"/>
      <c r="E107" s="17">
        <v>4</v>
      </c>
      <c r="F107" s="49">
        <f aca="true" t="shared" si="46" ref="F107:F118">+E107+(K107+L107+M107)-(X107+Y107+Z107)</f>
        <v>4</v>
      </c>
      <c r="G107" s="17"/>
      <c r="H107" s="61">
        <f aca="true" t="shared" si="47" ref="H107:H118">+G107+(Q107+R107)-(AD107+AE107)</f>
        <v>0</v>
      </c>
      <c r="I107" s="50">
        <f aca="true" t="shared" si="48" ref="I107:I118">+G107+(Q107+R107+S107+T107)-(AD107+AE107+AF107+AG107)</f>
        <v>0</v>
      </c>
      <c r="J107" s="51"/>
      <c r="K107" s="126"/>
      <c r="L107" s="126"/>
      <c r="M107" s="126"/>
      <c r="N107" s="126"/>
      <c r="O107" s="126"/>
      <c r="P107" s="126"/>
      <c r="Q107" s="126"/>
      <c r="R107" s="126"/>
      <c r="S107" s="126"/>
      <c r="T107" s="127"/>
      <c r="U107" s="126"/>
      <c r="V107" s="126"/>
      <c r="W107" s="17">
        <f t="shared" si="31"/>
        <v>0</v>
      </c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7">
        <f t="shared" si="33"/>
        <v>0</v>
      </c>
    </row>
    <row r="108" spans="1:36" ht="15" thickBot="1">
      <c r="A108" s="110" t="s">
        <v>172</v>
      </c>
      <c r="B108" s="103" t="s">
        <v>161</v>
      </c>
      <c r="C108" s="63"/>
      <c r="D108" s="63"/>
      <c r="E108" s="17">
        <v>41</v>
      </c>
      <c r="F108" s="49">
        <f t="shared" si="46"/>
        <v>40</v>
      </c>
      <c r="G108" s="17"/>
      <c r="H108" s="61">
        <f t="shared" si="47"/>
        <v>0</v>
      </c>
      <c r="I108" s="50">
        <f t="shared" si="48"/>
        <v>0</v>
      </c>
      <c r="J108" s="51"/>
      <c r="K108" s="126"/>
      <c r="L108" s="126"/>
      <c r="M108" s="126"/>
      <c r="N108" s="126"/>
      <c r="O108" s="126"/>
      <c r="P108" s="126"/>
      <c r="Q108" s="126"/>
      <c r="R108" s="126"/>
      <c r="S108" s="126"/>
      <c r="T108" s="127"/>
      <c r="U108" s="126"/>
      <c r="V108" s="126"/>
      <c r="W108" s="17">
        <f t="shared" si="31"/>
        <v>0</v>
      </c>
      <c r="X108" s="126">
        <v>1</v>
      </c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7">
        <f t="shared" si="33"/>
        <v>1</v>
      </c>
    </row>
    <row r="109" spans="1:36" ht="15" thickBot="1">
      <c r="A109" s="110" t="s">
        <v>172</v>
      </c>
      <c r="B109" s="103" t="s">
        <v>162</v>
      </c>
      <c r="C109" s="63"/>
      <c r="D109" s="63"/>
      <c r="E109" s="17">
        <v>36</v>
      </c>
      <c r="F109" s="49">
        <f t="shared" si="46"/>
        <v>36</v>
      </c>
      <c r="G109" s="17"/>
      <c r="H109" s="61">
        <f t="shared" si="47"/>
        <v>0</v>
      </c>
      <c r="I109" s="50">
        <f t="shared" si="48"/>
        <v>0</v>
      </c>
      <c r="J109" s="51"/>
      <c r="K109" s="126"/>
      <c r="L109" s="126"/>
      <c r="M109" s="126"/>
      <c r="N109" s="126"/>
      <c r="O109" s="126"/>
      <c r="P109" s="126"/>
      <c r="Q109" s="126"/>
      <c r="R109" s="126"/>
      <c r="S109" s="126"/>
      <c r="T109" s="127"/>
      <c r="U109" s="126"/>
      <c r="V109" s="126"/>
      <c r="W109" s="17">
        <f t="shared" si="31"/>
        <v>0</v>
      </c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7">
        <f t="shared" si="33"/>
        <v>0</v>
      </c>
    </row>
    <row r="110" spans="1:36" ht="15" thickBot="1">
      <c r="A110" s="110" t="s">
        <v>172</v>
      </c>
      <c r="B110" s="103" t="s">
        <v>163</v>
      </c>
      <c r="C110" s="63"/>
      <c r="D110" s="63"/>
      <c r="E110" s="17">
        <v>35</v>
      </c>
      <c r="F110" s="49">
        <f t="shared" si="46"/>
        <v>36</v>
      </c>
      <c r="G110" s="17"/>
      <c r="H110" s="61">
        <f t="shared" si="47"/>
        <v>0</v>
      </c>
      <c r="I110" s="50">
        <f t="shared" si="48"/>
        <v>0</v>
      </c>
      <c r="J110" s="51"/>
      <c r="K110" s="126">
        <v>2</v>
      </c>
      <c r="L110" s="126"/>
      <c r="M110" s="126"/>
      <c r="N110" s="126"/>
      <c r="O110" s="126"/>
      <c r="P110" s="126"/>
      <c r="Q110" s="126"/>
      <c r="R110" s="126"/>
      <c r="S110" s="126"/>
      <c r="T110" s="127"/>
      <c r="U110" s="126"/>
      <c r="V110" s="126"/>
      <c r="W110" s="17">
        <f t="shared" si="31"/>
        <v>2</v>
      </c>
      <c r="X110" s="126">
        <v>1</v>
      </c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7">
        <f t="shared" si="33"/>
        <v>1</v>
      </c>
    </row>
    <row r="111" spans="1:36" ht="15" thickBot="1">
      <c r="A111" s="110" t="s">
        <v>172</v>
      </c>
      <c r="B111" s="103" t="s">
        <v>164</v>
      </c>
      <c r="C111" s="63"/>
      <c r="D111" s="63"/>
      <c r="E111" s="17">
        <v>48</v>
      </c>
      <c r="F111" s="49">
        <f t="shared" si="46"/>
        <v>48</v>
      </c>
      <c r="G111" s="17"/>
      <c r="H111" s="61">
        <f t="shared" si="47"/>
        <v>0</v>
      </c>
      <c r="I111" s="50">
        <f t="shared" si="48"/>
        <v>0</v>
      </c>
      <c r="J111" s="51"/>
      <c r="K111" s="126"/>
      <c r="L111" s="126"/>
      <c r="M111" s="126"/>
      <c r="N111" s="126"/>
      <c r="O111" s="126"/>
      <c r="P111" s="126"/>
      <c r="Q111" s="126"/>
      <c r="R111" s="126"/>
      <c r="S111" s="126"/>
      <c r="T111" s="127"/>
      <c r="U111" s="126"/>
      <c r="V111" s="126"/>
      <c r="W111" s="17">
        <f t="shared" si="31"/>
        <v>0</v>
      </c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  <c r="AI111" s="126"/>
      <c r="AJ111" s="17">
        <f t="shared" si="33"/>
        <v>0</v>
      </c>
    </row>
    <row r="112" spans="1:36" ht="15" thickBot="1">
      <c r="A112" s="110" t="s">
        <v>172</v>
      </c>
      <c r="B112" s="103" t="s">
        <v>165</v>
      </c>
      <c r="C112" s="63"/>
      <c r="D112" s="63"/>
      <c r="E112" s="17">
        <v>12</v>
      </c>
      <c r="F112" s="49">
        <f t="shared" si="46"/>
        <v>12</v>
      </c>
      <c r="G112" s="17"/>
      <c r="H112" s="61">
        <f t="shared" si="47"/>
        <v>0</v>
      </c>
      <c r="I112" s="50">
        <f t="shared" si="48"/>
        <v>0</v>
      </c>
      <c r="J112" s="51"/>
      <c r="K112" s="126"/>
      <c r="L112" s="126"/>
      <c r="M112" s="126"/>
      <c r="N112" s="126"/>
      <c r="O112" s="126"/>
      <c r="P112" s="126"/>
      <c r="Q112" s="126"/>
      <c r="R112" s="126"/>
      <c r="S112" s="126"/>
      <c r="T112" s="127"/>
      <c r="U112" s="126"/>
      <c r="V112" s="126"/>
      <c r="W112" s="17">
        <f t="shared" si="31"/>
        <v>0</v>
      </c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  <c r="AH112" s="126"/>
      <c r="AI112" s="126"/>
      <c r="AJ112" s="17">
        <f t="shared" si="33"/>
        <v>0</v>
      </c>
    </row>
    <row r="113" spans="1:36" ht="15" thickBot="1">
      <c r="A113" s="110" t="s">
        <v>172</v>
      </c>
      <c r="B113" s="103" t="s">
        <v>166</v>
      </c>
      <c r="C113" s="63"/>
      <c r="D113" s="63"/>
      <c r="E113" s="17">
        <v>29</v>
      </c>
      <c r="F113" s="49">
        <f t="shared" si="46"/>
        <v>30</v>
      </c>
      <c r="G113" s="17"/>
      <c r="H113" s="61">
        <f t="shared" si="47"/>
        <v>0</v>
      </c>
      <c r="I113" s="50">
        <f t="shared" si="48"/>
        <v>0</v>
      </c>
      <c r="J113" s="51"/>
      <c r="K113" s="126">
        <v>1</v>
      </c>
      <c r="L113" s="126"/>
      <c r="M113" s="126"/>
      <c r="N113" s="126"/>
      <c r="O113" s="126"/>
      <c r="P113" s="126"/>
      <c r="Q113" s="126"/>
      <c r="R113" s="126"/>
      <c r="S113" s="126"/>
      <c r="T113" s="127"/>
      <c r="U113" s="126"/>
      <c r="V113" s="126"/>
      <c r="W113" s="17">
        <f t="shared" si="31"/>
        <v>1</v>
      </c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  <c r="AH113" s="126"/>
      <c r="AI113" s="126"/>
      <c r="AJ113" s="17">
        <f t="shared" si="33"/>
        <v>0</v>
      </c>
    </row>
    <row r="114" spans="1:36" ht="15" thickBot="1">
      <c r="A114" s="110" t="s">
        <v>172</v>
      </c>
      <c r="B114" s="103" t="s">
        <v>167</v>
      </c>
      <c r="C114" s="63"/>
      <c r="D114" s="63"/>
      <c r="E114" s="17">
        <v>52</v>
      </c>
      <c r="F114" s="49">
        <f t="shared" si="46"/>
        <v>53</v>
      </c>
      <c r="G114" s="17"/>
      <c r="H114" s="61">
        <f t="shared" si="47"/>
        <v>0</v>
      </c>
      <c r="I114" s="50">
        <f t="shared" si="48"/>
        <v>0</v>
      </c>
      <c r="J114" s="51"/>
      <c r="K114" s="126">
        <v>1</v>
      </c>
      <c r="L114" s="126"/>
      <c r="M114" s="126"/>
      <c r="N114" s="126"/>
      <c r="O114" s="126"/>
      <c r="P114" s="126"/>
      <c r="Q114" s="126"/>
      <c r="R114" s="126"/>
      <c r="S114" s="126"/>
      <c r="T114" s="127"/>
      <c r="U114" s="126"/>
      <c r="V114" s="126"/>
      <c r="W114" s="17">
        <f t="shared" si="31"/>
        <v>1</v>
      </c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7">
        <f t="shared" si="33"/>
        <v>0</v>
      </c>
    </row>
    <row r="115" spans="1:36" ht="15" thickBot="1">
      <c r="A115" s="110" t="s">
        <v>172</v>
      </c>
      <c r="B115" s="103" t="s">
        <v>168</v>
      </c>
      <c r="C115" s="63"/>
      <c r="D115" s="63"/>
      <c r="E115" s="17">
        <v>26</v>
      </c>
      <c r="F115" s="49">
        <f t="shared" si="46"/>
        <v>27</v>
      </c>
      <c r="G115" s="17"/>
      <c r="H115" s="61">
        <f t="shared" si="47"/>
        <v>0</v>
      </c>
      <c r="I115" s="50">
        <f t="shared" si="48"/>
        <v>0</v>
      </c>
      <c r="J115" s="51"/>
      <c r="K115" s="121">
        <v>1</v>
      </c>
      <c r="L115" s="121"/>
      <c r="M115" s="121"/>
      <c r="N115" s="121"/>
      <c r="O115" s="121"/>
      <c r="P115" s="121"/>
      <c r="Q115" s="121"/>
      <c r="R115" s="121"/>
      <c r="S115" s="121"/>
      <c r="T115" s="121"/>
      <c r="U115" s="126"/>
      <c r="V115" s="126"/>
      <c r="W115" s="17">
        <f t="shared" si="31"/>
        <v>1</v>
      </c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7">
        <f t="shared" si="33"/>
        <v>0</v>
      </c>
    </row>
    <row r="116" spans="1:36" ht="15" thickBot="1">
      <c r="A116" s="110" t="s">
        <v>172</v>
      </c>
      <c r="B116" s="103" t="s">
        <v>169</v>
      </c>
      <c r="C116" s="63"/>
      <c r="D116" s="63"/>
      <c r="E116" s="17">
        <v>14</v>
      </c>
      <c r="F116" s="49">
        <f t="shared" si="46"/>
        <v>14</v>
      </c>
      <c r="G116" s="17"/>
      <c r="H116" s="61">
        <f t="shared" si="47"/>
        <v>0</v>
      </c>
      <c r="I116" s="50">
        <f t="shared" si="48"/>
        <v>0</v>
      </c>
      <c r="J116" s="51"/>
      <c r="K116" s="121"/>
      <c r="L116" s="121"/>
      <c r="M116" s="121"/>
      <c r="N116" s="121"/>
      <c r="O116" s="126"/>
      <c r="P116" s="126"/>
      <c r="Q116" s="126"/>
      <c r="R116" s="126"/>
      <c r="S116" s="126"/>
      <c r="T116" s="127"/>
      <c r="U116" s="126"/>
      <c r="V116" s="126"/>
      <c r="W116" s="17">
        <f t="shared" si="31"/>
        <v>0</v>
      </c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  <c r="AH116" s="126"/>
      <c r="AI116" s="126"/>
      <c r="AJ116" s="17">
        <f t="shared" si="33"/>
        <v>0</v>
      </c>
    </row>
    <row r="117" spans="1:36" ht="15" thickBot="1">
      <c r="A117" s="110" t="s">
        <v>172</v>
      </c>
      <c r="B117" s="103" t="s">
        <v>170</v>
      </c>
      <c r="C117" s="63"/>
      <c r="D117" s="63"/>
      <c r="E117" s="17">
        <v>11</v>
      </c>
      <c r="F117" s="49">
        <f t="shared" si="46"/>
        <v>11</v>
      </c>
      <c r="G117" s="17"/>
      <c r="H117" s="61">
        <f t="shared" si="47"/>
        <v>0</v>
      </c>
      <c r="I117" s="50">
        <f t="shared" si="48"/>
        <v>0</v>
      </c>
      <c r="J117" s="51"/>
      <c r="K117" s="126"/>
      <c r="L117" s="126"/>
      <c r="M117" s="126"/>
      <c r="N117" s="126"/>
      <c r="O117" s="126"/>
      <c r="P117" s="126"/>
      <c r="Q117" s="126"/>
      <c r="R117" s="126"/>
      <c r="S117" s="126"/>
      <c r="T117" s="127"/>
      <c r="U117" s="126"/>
      <c r="V117" s="126"/>
      <c r="W117" s="17">
        <f t="shared" si="31"/>
        <v>0</v>
      </c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7">
        <f t="shared" si="33"/>
        <v>0</v>
      </c>
    </row>
    <row r="118" spans="1:36" ht="15" thickBot="1">
      <c r="A118" s="110" t="s">
        <v>172</v>
      </c>
      <c r="B118" s="103" t="s">
        <v>171</v>
      </c>
      <c r="C118" s="63"/>
      <c r="D118" s="63"/>
      <c r="E118" s="17">
        <v>3</v>
      </c>
      <c r="F118" s="49">
        <f t="shared" si="46"/>
        <v>3</v>
      </c>
      <c r="G118" s="17"/>
      <c r="H118" s="61">
        <f t="shared" si="47"/>
        <v>0</v>
      </c>
      <c r="I118" s="50">
        <f t="shared" si="48"/>
        <v>0</v>
      </c>
      <c r="J118" s="51"/>
      <c r="K118" s="126"/>
      <c r="L118" s="126"/>
      <c r="M118" s="126"/>
      <c r="N118" s="126"/>
      <c r="O118" s="126"/>
      <c r="P118" s="126"/>
      <c r="Q118" s="126"/>
      <c r="R118" s="126"/>
      <c r="S118" s="126"/>
      <c r="T118" s="127"/>
      <c r="U118" s="126"/>
      <c r="V118" s="126"/>
      <c r="W118" s="17">
        <f t="shared" si="31"/>
        <v>0</v>
      </c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7">
        <f t="shared" si="33"/>
        <v>0</v>
      </c>
    </row>
    <row r="119" spans="1:39" ht="24" customHeight="1" thickBot="1">
      <c r="A119" s="196" t="s">
        <v>207</v>
      </c>
      <c r="B119" s="197"/>
      <c r="C119" s="45">
        <f>+D119/Metas!M27</f>
        <v>1.0094093669331636</v>
      </c>
      <c r="D119" s="19">
        <f>+F119/AK119</f>
        <v>0.42395193411192866</v>
      </c>
      <c r="E119" s="14">
        <f aca="true" t="shared" si="49" ref="E119:J119">SUM(E107:E118)</f>
        <v>311</v>
      </c>
      <c r="F119" s="14">
        <f t="shared" si="49"/>
        <v>314</v>
      </c>
      <c r="G119" s="14">
        <f t="shared" si="49"/>
        <v>0</v>
      </c>
      <c r="H119" s="14">
        <f t="shared" si="49"/>
        <v>0</v>
      </c>
      <c r="I119" s="14">
        <f>SUM(I107:I118)</f>
        <v>0</v>
      </c>
      <c r="J119" s="14">
        <f t="shared" si="49"/>
        <v>0</v>
      </c>
      <c r="K119" s="14">
        <f aca="true" t="shared" si="50" ref="K119:V119">SUM(K107:K118)</f>
        <v>5</v>
      </c>
      <c r="L119" s="14">
        <f t="shared" si="50"/>
        <v>0</v>
      </c>
      <c r="M119" s="14">
        <f t="shared" si="50"/>
        <v>0</v>
      </c>
      <c r="N119" s="14">
        <f t="shared" si="50"/>
        <v>0</v>
      </c>
      <c r="O119" s="14">
        <f t="shared" si="50"/>
        <v>0</v>
      </c>
      <c r="P119" s="14">
        <f t="shared" si="50"/>
        <v>0</v>
      </c>
      <c r="Q119" s="14">
        <f t="shared" si="50"/>
        <v>0</v>
      </c>
      <c r="R119" s="14">
        <f t="shared" si="50"/>
        <v>0</v>
      </c>
      <c r="S119" s="14">
        <f t="shared" si="50"/>
        <v>0</v>
      </c>
      <c r="T119" s="14">
        <f t="shared" si="50"/>
        <v>0</v>
      </c>
      <c r="U119" s="14">
        <f t="shared" si="50"/>
        <v>0</v>
      </c>
      <c r="V119" s="14">
        <f t="shared" si="50"/>
        <v>0</v>
      </c>
      <c r="W119" s="14">
        <f t="shared" si="31"/>
        <v>5</v>
      </c>
      <c r="X119" s="14">
        <f aca="true" t="shared" si="51" ref="X119:AI119">SUM(X107:X118)</f>
        <v>2</v>
      </c>
      <c r="Y119" s="14">
        <f t="shared" si="51"/>
        <v>0</v>
      </c>
      <c r="Z119" s="14">
        <f t="shared" si="51"/>
        <v>0</v>
      </c>
      <c r="AA119" s="14">
        <f t="shared" si="51"/>
        <v>0</v>
      </c>
      <c r="AB119" s="14">
        <f t="shared" si="51"/>
        <v>0</v>
      </c>
      <c r="AC119" s="14">
        <f t="shared" si="51"/>
        <v>0</v>
      </c>
      <c r="AD119" s="14">
        <f t="shared" si="51"/>
        <v>0</v>
      </c>
      <c r="AE119" s="14">
        <f t="shared" si="51"/>
        <v>0</v>
      </c>
      <c r="AF119" s="14">
        <f t="shared" si="51"/>
        <v>0</v>
      </c>
      <c r="AG119" s="14">
        <f t="shared" si="51"/>
        <v>0</v>
      </c>
      <c r="AH119" s="14">
        <f t="shared" si="51"/>
        <v>0</v>
      </c>
      <c r="AI119" s="14">
        <f t="shared" si="51"/>
        <v>0</v>
      </c>
      <c r="AJ119" s="14">
        <f t="shared" si="33"/>
        <v>2</v>
      </c>
      <c r="AK119" s="14">
        <f>+AL119+AM119</f>
        <v>740.6500000000001</v>
      </c>
      <c r="AL119" s="14">
        <f>4529*0.1</f>
        <v>452.90000000000003</v>
      </c>
      <c r="AM119" s="14">
        <f>1151*0.25</f>
        <v>287.75</v>
      </c>
    </row>
    <row r="120" spans="1:36" ht="15" thickBot="1">
      <c r="A120" s="110" t="s">
        <v>186</v>
      </c>
      <c r="B120" s="103" t="s">
        <v>173</v>
      </c>
      <c r="C120" s="63"/>
      <c r="D120" s="63"/>
      <c r="E120" s="17">
        <v>408</v>
      </c>
      <c r="F120" s="49">
        <f aca="true" t="shared" si="52" ref="F120:F132">+E120+(K120+L120+M120)-(X120+Y120+Z120)</f>
        <v>416</v>
      </c>
      <c r="G120" s="17"/>
      <c r="H120" s="61">
        <f aca="true" t="shared" si="53" ref="H120:H132">+G120+(Q120+R120)-(AD120+AE120)</f>
        <v>0</v>
      </c>
      <c r="I120" s="50">
        <f aca="true" t="shared" si="54" ref="I120:I132">+G120+(Q120+R120+S120+T120)-(AD120+AE120+AF120+AG120)</f>
        <v>0</v>
      </c>
      <c r="J120" s="51"/>
      <c r="K120" s="126">
        <v>6</v>
      </c>
      <c r="L120" s="126">
        <v>4</v>
      </c>
      <c r="M120" s="126"/>
      <c r="N120" s="126"/>
      <c r="O120" s="126"/>
      <c r="P120" s="126"/>
      <c r="Q120" s="126"/>
      <c r="R120" s="126"/>
      <c r="S120" s="126"/>
      <c r="T120" s="127"/>
      <c r="U120" s="126"/>
      <c r="V120" s="126"/>
      <c r="W120" s="17">
        <f t="shared" si="31"/>
        <v>10</v>
      </c>
      <c r="X120" s="126">
        <v>1</v>
      </c>
      <c r="Y120" s="126">
        <v>1</v>
      </c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7">
        <f t="shared" si="33"/>
        <v>2</v>
      </c>
    </row>
    <row r="121" spans="1:36" ht="15" thickBot="1">
      <c r="A121" s="110" t="s">
        <v>186</v>
      </c>
      <c r="B121" s="103" t="s">
        <v>174</v>
      </c>
      <c r="C121" s="63"/>
      <c r="D121" s="63"/>
      <c r="E121" s="17">
        <v>174</v>
      </c>
      <c r="F121" s="49">
        <f t="shared" si="52"/>
        <v>176</v>
      </c>
      <c r="G121" s="17"/>
      <c r="H121" s="61">
        <f t="shared" si="53"/>
        <v>0</v>
      </c>
      <c r="I121" s="50">
        <f t="shared" si="54"/>
        <v>0</v>
      </c>
      <c r="J121" s="51"/>
      <c r="K121" s="126">
        <v>2</v>
      </c>
      <c r="L121" s="126"/>
      <c r="M121" s="126"/>
      <c r="N121" s="126"/>
      <c r="O121" s="126"/>
      <c r="P121" s="126"/>
      <c r="Q121" s="126"/>
      <c r="R121" s="126"/>
      <c r="S121" s="126"/>
      <c r="T121" s="127"/>
      <c r="U121" s="126"/>
      <c r="V121" s="126"/>
      <c r="W121" s="17">
        <f t="shared" si="31"/>
        <v>2</v>
      </c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126"/>
      <c r="AJ121" s="17">
        <f t="shared" si="33"/>
        <v>0</v>
      </c>
    </row>
    <row r="122" spans="1:36" ht="15" thickBot="1">
      <c r="A122" s="110" t="s">
        <v>186</v>
      </c>
      <c r="B122" s="103" t="s">
        <v>175</v>
      </c>
      <c r="C122" s="63"/>
      <c r="D122" s="63"/>
      <c r="E122" s="17">
        <v>112</v>
      </c>
      <c r="F122" s="49">
        <f t="shared" si="52"/>
        <v>115</v>
      </c>
      <c r="G122" s="17"/>
      <c r="H122" s="61">
        <f t="shared" si="53"/>
        <v>0</v>
      </c>
      <c r="I122" s="50">
        <f t="shared" si="54"/>
        <v>0</v>
      </c>
      <c r="J122" s="51"/>
      <c r="K122" s="126">
        <v>2</v>
      </c>
      <c r="L122" s="126">
        <v>1</v>
      </c>
      <c r="M122" s="126"/>
      <c r="N122" s="126"/>
      <c r="O122" s="126"/>
      <c r="P122" s="126"/>
      <c r="Q122" s="126"/>
      <c r="R122" s="126"/>
      <c r="S122" s="126"/>
      <c r="T122" s="127"/>
      <c r="U122" s="126"/>
      <c r="V122" s="126"/>
      <c r="W122" s="17">
        <f t="shared" si="31"/>
        <v>3</v>
      </c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7">
        <f t="shared" si="33"/>
        <v>0</v>
      </c>
    </row>
    <row r="123" spans="1:36" ht="15" thickBot="1">
      <c r="A123" s="110" t="s">
        <v>186</v>
      </c>
      <c r="B123" s="103" t="s">
        <v>176</v>
      </c>
      <c r="C123" s="63"/>
      <c r="D123" s="63"/>
      <c r="E123" s="17">
        <v>405</v>
      </c>
      <c r="F123" s="49">
        <f t="shared" si="52"/>
        <v>408</v>
      </c>
      <c r="G123" s="17"/>
      <c r="H123" s="61">
        <f t="shared" si="53"/>
        <v>0</v>
      </c>
      <c r="I123" s="50">
        <f t="shared" si="54"/>
        <v>0</v>
      </c>
      <c r="J123" s="51"/>
      <c r="K123" s="126">
        <v>1</v>
      </c>
      <c r="L123" s="126">
        <v>2</v>
      </c>
      <c r="M123" s="126"/>
      <c r="N123" s="126"/>
      <c r="O123" s="126"/>
      <c r="P123" s="126"/>
      <c r="Q123" s="126"/>
      <c r="R123" s="126"/>
      <c r="S123" s="126"/>
      <c r="T123" s="127"/>
      <c r="U123" s="126"/>
      <c r="V123" s="126"/>
      <c r="W123" s="17">
        <f t="shared" si="31"/>
        <v>3</v>
      </c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6"/>
      <c r="AH123" s="126"/>
      <c r="AI123" s="126"/>
      <c r="AJ123" s="17">
        <f t="shared" si="33"/>
        <v>0</v>
      </c>
    </row>
    <row r="124" spans="1:36" ht="15" thickBot="1">
      <c r="A124" s="110" t="s">
        <v>186</v>
      </c>
      <c r="B124" s="103" t="s">
        <v>177</v>
      </c>
      <c r="C124" s="63"/>
      <c r="D124" s="63"/>
      <c r="E124" s="17">
        <v>41</v>
      </c>
      <c r="F124" s="49">
        <f t="shared" si="52"/>
        <v>41</v>
      </c>
      <c r="G124" s="17"/>
      <c r="H124" s="61">
        <f t="shared" si="53"/>
        <v>0</v>
      </c>
      <c r="I124" s="50">
        <f t="shared" si="54"/>
        <v>0</v>
      </c>
      <c r="J124" s="51"/>
      <c r="K124" s="126"/>
      <c r="L124" s="126"/>
      <c r="M124" s="126"/>
      <c r="N124" s="126"/>
      <c r="O124" s="126"/>
      <c r="P124" s="126"/>
      <c r="Q124" s="126"/>
      <c r="R124" s="126"/>
      <c r="S124" s="126"/>
      <c r="T124" s="127"/>
      <c r="U124" s="126"/>
      <c r="V124" s="126"/>
      <c r="W124" s="17">
        <f t="shared" si="31"/>
        <v>0</v>
      </c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6"/>
      <c r="AJ124" s="17">
        <f t="shared" si="33"/>
        <v>0</v>
      </c>
    </row>
    <row r="125" spans="1:36" ht="15" thickBot="1">
      <c r="A125" s="110" t="s">
        <v>186</v>
      </c>
      <c r="B125" s="103" t="s">
        <v>178</v>
      </c>
      <c r="C125" s="63"/>
      <c r="D125" s="63"/>
      <c r="E125" s="17">
        <v>34</v>
      </c>
      <c r="F125" s="49">
        <f t="shared" si="52"/>
        <v>34</v>
      </c>
      <c r="G125" s="17"/>
      <c r="H125" s="61">
        <f t="shared" si="53"/>
        <v>0</v>
      </c>
      <c r="I125" s="50">
        <f t="shared" si="54"/>
        <v>0</v>
      </c>
      <c r="J125" s="51"/>
      <c r="K125" s="126"/>
      <c r="L125" s="126"/>
      <c r="M125" s="126"/>
      <c r="N125" s="126"/>
      <c r="O125" s="126"/>
      <c r="P125" s="126"/>
      <c r="Q125" s="126"/>
      <c r="R125" s="126"/>
      <c r="S125" s="126"/>
      <c r="T125" s="127"/>
      <c r="U125" s="126"/>
      <c r="V125" s="126"/>
      <c r="W125" s="17">
        <f t="shared" si="31"/>
        <v>0</v>
      </c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  <c r="AI125" s="126"/>
      <c r="AJ125" s="17">
        <f t="shared" si="33"/>
        <v>0</v>
      </c>
    </row>
    <row r="126" spans="1:36" ht="15" thickBot="1">
      <c r="A126" s="110" t="s">
        <v>186</v>
      </c>
      <c r="B126" s="103" t="s">
        <v>179</v>
      </c>
      <c r="C126" s="63"/>
      <c r="D126" s="63"/>
      <c r="E126" s="17">
        <v>48</v>
      </c>
      <c r="F126" s="49">
        <f t="shared" si="52"/>
        <v>48</v>
      </c>
      <c r="G126" s="17"/>
      <c r="H126" s="61">
        <f t="shared" si="53"/>
        <v>0</v>
      </c>
      <c r="I126" s="50">
        <f t="shared" si="54"/>
        <v>0</v>
      </c>
      <c r="J126" s="51"/>
      <c r="K126" s="126"/>
      <c r="L126" s="126"/>
      <c r="M126" s="126"/>
      <c r="N126" s="126"/>
      <c r="O126" s="126"/>
      <c r="P126" s="126"/>
      <c r="Q126" s="126"/>
      <c r="R126" s="126"/>
      <c r="S126" s="126"/>
      <c r="T126" s="127"/>
      <c r="U126" s="126"/>
      <c r="V126" s="126"/>
      <c r="W126" s="17">
        <f t="shared" si="31"/>
        <v>0</v>
      </c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  <c r="AH126" s="126"/>
      <c r="AI126" s="126"/>
      <c r="AJ126" s="17">
        <f t="shared" si="33"/>
        <v>0</v>
      </c>
    </row>
    <row r="127" spans="1:36" ht="15" thickBot="1">
      <c r="A127" s="110" t="s">
        <v>186</v>
      </c>
      <c r="B127" s="103" t="s">
        <v>180</v>
      </c>
      <c r="C127" s="63"/>
      <c r="D127" s="63"/>
      <c r="E127" s="17">
        <v>22</v>
      </c>
      <c r="F127" s="49">
        <f t="shared" si="52"/>
        <v>21</v>
      </c>
      <c r="G127" s="17"/>
      <c r="H127" s="61">
        <f t="shared" si="53"/>
        <v>0</v>
      </c>
      <c r="I127" s="50">
        <f t="shared" si="54"/>
        <v>0</v>
      </c>
      <c r="J127" s="51"/>
      <c r="K127" s="126"/>
      <c r="L127" s="126"/>
      <c r="M127" s="126"/>
      <c r="N127" s="126"/>
      <c r="O127" s="126"/>
      <c r="P127" s="126"/>
      <c r="Q127" s="126"/>
      <c r="R127" s="126"/>
      <c r="S127" s="126"/>
      <c r="T127" s="127"/>
      <c r="U127" s="126"/>
      <c r="V127" s="126"/>
      <c r="W127" s="17">
        <f t="shared" si="31"/>
        <v>0</v>
      </c>
      <c r="X127" s="126">
        <v>1</v>
      </c>
      <c r="Y127" s="126"/>
      <c r="Z127" s="126"/>
      <c r="AA127" s="126"/>
      <c r="AB127" s="126"/>
      <c r="AC127" s="126"/>
      <c r="AD127" s="126"/>
      <c r="AE127" s="126"/>
      <c r="AF127" s="126"/>
      <c r="AG127" s="126"/>
      <c r="AH127" s="126"/>
      <c r="AI127" s="126"/>
      <c r="AJ127" s="17">
        <f t="shared" si="33"/>
        <v>1</v>
      </c>
    </row>
    <row r="128" spans="1:36" ht="15" thickBot="1">
      <c r="A128" s="110" t="s">
        <v>186</v>
      </c>
      <c r="B128" s="103" t="s">
        <v>181</v>
      </c>
      <c r="C128" s="63"/>
      <c r="D128" s="63"/>
      <c r="E128" s="17">
        <v>32</v>
      </c>
      <c r="F128" s="49">
        <f t="shared" si="52"/>
        <v>33</v>
      </c>
      <c r="G128" s="17"/>
      <c r="H128" s="61">
        <f t="shared" si="53"/>
        <v>0</v>
      </c>
      <c r="I128" s="50">
        <f t="shared" si="54"/>
        <v>0</v>
      </c>
      <c r="J128" s="51"/>
      <c r="K128" s="126">
        <v>2</v>
      </c>
      <c r="L128" s="126"/>
      <c r="M128" s="126"/>
      <c r="N128" s="126"/>
      <c r="O128" s="126"/>
      <c r="P128" s="126"/>
      <c r="Q128" s="126"/>
      <c r="R128" s="126"/>
      <c r="S128" s="126"/>
      <c r="T128" s="127"/>
      <c r="U128" s="126"/>
      <c r="V128" s="126"/>
      <c r="W128" s="17">
        <f t="shared" si="31"/>
        <v>2</v>
      </c>
      <c r="X128" s="126"/>
      <c r="Y128" s="126">
        <v>1</v>
      </c>
      <c r="Z128" s="126"/>
      <c r="AA128" s="126"/>
      <c r="AB128" s="126"/>
      <c r="AC128" s="126"/>
      <c r="AD128" s="126"/>
      <c r="AE128" s="126"/>
      <c r="AF128" s="126"/>
      <c r="AG128" s="126"/>
      <c r="AH128" s="126"/>
      <c r="AI128" s="126"/>
      <c r="AJ128" s="17">
        <f t="shared" si="33"/>
        <v>1</v>
      </c>
    </row>
    <row r="129" spans="1:36" ht="15" thickBot="1">
      <c r="A129" s="110" t="s">
        <v>186</v>
      </c>
      <c r="B129" s="103" t="s">
        <v>182</v>
      </c>
      <c r="C129" s="63"/>
      <c r="D129" s="63"/>
      <c r="E129" s="17">
        <v>53</v>
      </c>
      <c r="F129" s="49">
        <f t="shared" si="52"/>
        <v>53</v>
      </c>
      <c r="G129" s="17"/>
      <c r="H129" s="61">
        <f t="shared" si="53"/>
        <v>0</v>
      </c>
      <c r="I129" s="50">
        <f t="shared" si="54"/>
        <v>0</v>
      </c>
      <c r="J129" s="51"/>
      <c r="K129" s="126"/>
      <c r="L129" s="126"/>
      <c r="M129" s="126"/>
      <c r="N129" s="126"/>
      <c r="O129" s="126"/>
      <c r="P129" s="126"/>
      <c r="Q129" s="126"/>
      <c r="R129" s="126"/>
      <c r="S129" s="126"/>
      <c r="T129" s="127"/>
      <c r="U129" s="126"/>
      <c r="V129" s="126"/>
      <c r="W129" s="17">
        <f t="shared" si="31"/>
        <v>0</v>
      </c>
      <c r="X129" s="126"/>
      <c r="Y129" s="126"/>
      <c r="Z129" s="126"/>
      <c r="AA129" s="126"/>
      <c r="AB129" s="126"/>
      <c r="AC129" s="126"/>
      <c r="AD129" s="126"/>
      <c r="AE129" s="126"/>
      <c r="AF129" s="126"/>
      <c r="AG129" s="126"/>
      <c r="AH129" s="126"/>
      <c r="AI129" s="126"/>
      <c r="AJ129" s="17">
        <f t="shared" si="33"/>
        <v>0</v>
      </c>
    </row>
    <row r="130" spans="1:36" ht="15" thickBot="1">
      <c r="A130" s="110" t="s">
        <v>186</v>
      </c>
      <c r="B130" s="103" t="s">
        <v>183</v>
      </c>
      <c r="C130" s="63"/>
      <c r="D130" s="63"/>
      <c r="E130" s="17">
        <v>61</v>
      </c>
      <c r="F130" s="49">
        <f t="shared" si="52"/>
        <v>65</v>
      </c>
      <c r="G130" s="17"/>
      <c r="H130" s="61">
        <f t="shared" si="53"/>
        <v>0</v>
      </c>
      <c r="I130" s="50">
        <f t="shared" si="54"/>
        <v>0</v>
      </c>
      <c r="J130" s="51"/>
      <c r="K130" s="128">
        <v>3</v>
      </c>
      <c r="L130" s="128">
        <v>1</v>
      </c>
      <c r="M130" s="128"/>
      <c r="N130" s="128"/>
      <c r="O130" s="128"/>
      <c r="P130" s="128"/>
      <c r="Q130" s="128"/>
      <c r="R130" s="128"/>
      <c r="S130" s="128"/>
      <c r="T130" s="127"/>
      <c r="U130" s="128"/>
      <c r="V130" s="128"/>
      <c r="W130" s="17">
        <f t="shared" si="31"/>
        <v>4</v>
      </c>
      <c r="X130" s="128"/>
      <c r="Y130" s="128"/>
      <c r="Z130" s="128"/>
      <c r="AA130" s="128"/>
      <c r="AB130" s="128"/>
      <c r="AC130" s="128"/>
      <c r="AD130" s="128"/>
      <c r="AE130" s="128"/>
      <c r="AF130" s="128"/>
      <c r="AG130" s="128"/>
      <c r="AH130" s="128"/>
      <c r="AI130" s="128"/>
      <c r="AJ130" s="17">
        <f t="shared" si="33"/>
        <v>0</v>
      </c>
    </row>
    <row r="131" spans="1:36" ht="15" thickBot="1">
      <c r="A131" s="110" t="s">
        <v>186</v>
      </c>
      <c r="B131" s="103" t="s">
        <v>184</v>
      </c>
      <c r="C131" s="63"/>
      <c r="D131" s="63"/>
      <c r="E131" s="17">
        <v>20</v>
      </c>
      <c r="F131" s="49">
        <f t="shared" si="52"/>
        <v>21</v>
      </c>
      <c r="G131" s="17"/>
      <c r="H131" s="61">
        <f t="shared" si="53"/>
        <v>0</v>
      </c>
      <c r="I131" s="50">
        <f t="shared" si="54"/>
        <v>0</v>
      </c>
      <c r="J131" s="51"/>
      <c r="K131" s="128"/>
      <c r="L131" s="128">
        <v>1</v>
      </c>
      <c r="M131" s="128"/>
      <c r="N131" s="128"/>
      <c r="O131" s="128"/>
      <c r="P131" s="128"/>
      <c r="Q131" s="128"/>
      <c r="R131" s="128"/>
      <c r="S131" s="128"/>
      <c r="T131" s="127"/>
      <c r="U131" s="128"/>
      <c r="V131" s="128"/>
      <c r="W131" s="17">
        <f t="shared" si="31"/>
        <v>1</v>
      </c>
      <c r="X131" s="128"/>
      <c r="Y131" s="128"/>
      <c r="Z131" s="128"/>
      <c r="AA131" s="128"/>
      <c r="AB131" s="128"/>
      <c r="AC131" s="128"/>
      <c r="AD131" s="128"/>
      <c r="AE131" s="128"/>
      <c r="AF131" s="128"/>
      <c r="AG131" s="128"/>
      <c r="AH131" s="128"/>
      <c r="AI131" s="128"/>
      <c r="AJ131" s="17">
        <f t="shared" si="33"/>
        <v>0</v>
      </c>
    </row>
    <row r="132" spans="1:36" ht="15" thickBot="1">
      <c r="A132" s="110" t="s">
        <v>186</v>
      </c>
      <c r="B132" s="103" t="s">
        <v>185</v>
      </c>
      <c r="C132" s="63"/>
      <c r="D132" s="63"/>
      <c r="E132" s="17">
        <v>8</v>
      </c>
      <c r="F132" s="49">
        <f t="shared" si="52"/>
        <v>8</v>
      </c>
      <c r="G132" s="17"/>
      <c r="H132" s="61">
        <f t="shared" si="53"/>
        <v>0</v>
      </c>
      <c r="I132" s="50">
        <f t="shared" si="54"/>
        <v>0</v>
      </c>
      <c r="J132" s="51"/>
      <c r="K132" s="128"/>
      <c r="L132" s="128"/>
      <c r="M132" s="128"/>
      <c r="N132" s="128"/>
      <c r="O132" s="128"/>
      <c r="P132" s="128"/>
      <c r="Q132" s="128"/>
      <c r="R132" s="128"/>
      <c r="S132" s="128"/>
      <c r="T132" s="127"/>
      <c r="U132" s="128"/>
      <c r="V132" s="128"/>
      <c r="W132" s="17">
        <f t="shared" si="31"/>
        <v>0</v>
      </c>
      <c r="X132" s="128"/>
      <c r="Y132" s="128"/>
      <c r="Z132" s="128"/>
      <c r="AA132" s="128"/>
      <c r="AB132" s="128"/>
      <c r="AC132" s="128"/>
      <c r="AD132" s="128"/>
      <c r="AE132" s="128"/>
      <c r="AF132" s="128"/>
      <c r="AG132" s="128"/>
      <c r="AH132" s="128"/>
      <c r="AI132" s="128"/>
      <c r="AJ132" s="17">
        <f t="shared" si="33"/>
        <v>0</v>
      </c>
    </row>
    <row r="133" spans="1:39" ht="15" thickBot="1">
      <c r="A133" s="196" t="s">
        <v>208</v>
      </c>
      <c r="B133" s="197"/>
      <c r="C133" s="45">
        <f>+D133/Metas!M32</f>
        <v>1.100727252561065</v>
      </c>
      <c r="D133" s="19">
        <f>+F133/AK133</f>
        <v>0.4953272636524792</v>
      </c>
      <c r="E133" s="14">
        <f aca="true" t="shared" si="55" ref="E133:K133">SUM(E120:E132)</f>
        <v>1418</v>
      </c>
      <c r="F133" s="14">
        <f t="shared" si="55"/>
        <v>1439</v>
      </c>
      <c r="G133" s="14">
        <f t="shared" si="55"/>
        <v>0</v>
      </c>
      <c r="H133" s="14">
        <f t="shared" si="55"/>
        <v>0</v>
      </c>
      <c r="I133" s="14">
        <f>SUM(I120:I132)</f>
        <v>0</v>
      </c>
      <c r="J133" s="14">
        <f t="shared" si="55"/>
        <v>0</v>
      </c>
      <c r="K133" s="14">
        <f t="shared" si="55"/>
        <v>16</v>
      </c>
      <c r="L133" s="14">
        <f aca="true" t="shared" si="56" ref="L133:V133">SUM(L120:L132)</f>
        <v>9</v>
      </c>
      <c r="M133" s="14">
        <f t="shared" si="56"/>
        <v>0</v>
      </c>
      <c r="N133" s="14">
        <f t="shared" si="56"/>
        <v>0</v>
      </c>
      <c r="O133" s="14">
        <f t="shared" si="56"/>
        <v>0</v>
      </c>
      <c r="P133" s="14">
        <f t="shared" si="56"/>
        <v>0</v>
      </c>
      <c r="Q133" s="14">
        <f t="shared" si="56"/>
        <v>0</v>
      </c>
      <c r="R133" s="14">
        <f t="shared" si="56"/>
        <v>0</v>
      </c>
      <c r="S133" s="14">
        <f t="shared" si="56"/>
        <v>0</v>
      </c>
      <c r="T133" s="14">
        <f t="shared" si="56"/>
        <v>0</v>
      </c>
      <c r="U133" s="14">
        <f t="shared" si="56"/>
        <v>0</v>
      </c>
      <c r="V133" s="14">
        <f t="shared" si="56"/>
        <v>0</v>
      </c>
      <c r="W133" s="14">
        <f t="shared" si="31"/>
        <v>25</v>
      </c>
      <c r="X133" s="14">
        <f aca="true" t="shared" si="57" ref="X133:AI133">SUM(X120:X132)</f>
        <v>2</v>
      </c>
      <c r="Y133" s="14">
        <f t="shared" si="57"/>
        <v>2</v>
      </c>
      <c r="Z133" s="14">
        <f t="shared" si="57"/>
        <v>0</v>
      </c>
      <c r="AA133" s="14">
        <f t="shared" si="57"/>
        <v>0</v>
      </c>
      <c r="AB133" s="14">
        <f t="shared" si="57"/>
        <v>0</v>
      </c>
      <c r="AC133" s="14">
        <f t="shared" si="57"/>
        <v>0</v>
      </c>
      <c r="AD133" s="14">
        <f t="shared" si="57"/>
        <v>0</v>
      </c>
      <c r="AE133" s="14">
        <f t="shared" si="57"/>
        <v>0</v>
      </c>
      <c r="AF133" s="14">
        <f t="shared" si="57"/>
        <v>0</v>
      </c>
      <c r="AG133" s="14">
        <f t="shared" si="57"/>
        <v>0</v>
      </c>
      <c r="AH133" s="14">
        <f t="shared" si="57"/>
        <v>0</v>
      </c>
      <c r="AI133" s="14">
        <f t="shared" si="57"/>
        <v>0</v>
      </c>
      <c r="AJ133" s="14">
        <f t="shared" si="33"/>
        <v>4</v>
      </c>
      <c r="AK133" s="14">
        <f>+AL133+AM133</f>
        <v>2905.15</v>
      </c>
      <c r="AL133" s="14">
        <f>20369*0.1</f>
        <v>2036.9</v>
      </c>
      <c r="AM133" s="14">
        <f>3473*0.25</f>
        <v>868.25</v>
      </c>
    </row>
    <row r="134" spans="1:36" ht="15" thickBot="1">
      <c r="A134" s="110" t="s">
        <v>191</v>
      </c>
      <c r="B134" s="103" t="s">
        <v>187</v>
      </c>
      <c r="C134" s="63"/>
      <c r="D134" s="63"/>
      <c r="E134" s="17">
        <v>519</v>
      </c>
      <c r="F134" s="49">
        <f>+E134+(K134+L134+M134)-(X134+Y134+Z134)</f>
        <v>531</v>
      </c>
      <c r="G134" s="17"/>
      <c r="H134" s="61">
        <f>+G134+(Q134+R134)-(AD134+AE134)</f>
        <v>0</v>
      </c>
      <c r="I134" s="50">
        <f>+G134+(Q134+R134+S134+T134)-(AD134+AE134+AF134+AG134)</f>
        <v>0</v>
      </c>
      <c r="J134" s="51"/>
      <c r="K134" s="121">
        <v>10</v>
      </c>
      <c r="L134" s="121">
        <v>3</v>
      </c>
      <c r="M134" s="121"/>
      <c r="N134" s="121"/>
      <c r="O134" s="121"/>
      <c r="P134" s="121"/>
      <c r="Q134" s="121"/>
      <c r="R134" s="121"/>
      <c r="S134" s="121"/>
      <c r="T134" s="121"/>
      <c r="U134" s="121"/>
      <c r="V134" s="129"/>
      <c r="W134" s="17">
        <f t="shared" si="31"/>
        <v>13</v>
      </c>
      <c r="X134" s="121"/>
      <c r="Y134" s="121">
        <v>1</v>
      </c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7">
        <f t="shared" si="33"/>
        <v>1</v>
      </c>
    </row>
    <row r="135" spans="1:36" ht="15" thickBot="1">
      <c r="A135" s="110" t="s">
        <v>191</v>
      </c>
      <c r="B135" s="103" t="s">
        <v>188</v>
      </c>
      <c r="C135" s="63"/>
      <c r="D135" s="63"/>
      <c r="E135" s="51">
        <v>68</v>
      </c>
      <c r="F135" s="49">
        <f>+E135+(K135+L135+M135)-(X135+Y135+Z135)</f>
        <v>68</v>
      </c>
      <c r="G135" s="17"/>
      <c r="H135" s="61">
        <f>+G135+(Q135+R135)-(AD135+AE135)</f>
        <v>0</v>
      </c>
      <c r="I135" s="50">
        <f>+G135+(Q135+R135+S135+T135)-(AD135+AE135+AF135+AG135)</f>
        <v>0</v>
      </c>
      <c r="J135" s="5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7">
        <f t="shared" si="31"/>
        <v>0</v>
      </c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7">
        <f t="shared" si="33"/>
        <v>0</v>
      </c>
    </row>
    <row r="136" spans="1:36" ht="15" thickBot="1">
      <c r="A136" s="110" t="s">
        <v>191</v>
      </c>
      <c r="B136" s="103" t="s">
        <v>189</v>
      </c>
      <c r="C136" s="63"/>
      <c r="D136" s="63"/>
      <c r="E136" s="51"/>
      <c r="F136" s="49">
        <f>+E136+(K136+L136+M136)-(X136+Y136+Z136)</f>
        <v>0</v>
      </c>
      <c r="G136" s="17"/>
      <c r="H136" s="61">
        <f>+G136+(Q136+R136)-(AD136+AE136)</f>
        <v>0</v>
      </c>
      <c r="I136" s="50">
        <f>+G136+(Q136+R136+S136+T136)-(AD136+AE136+AF136+AG136)</f>
        <v>0</v>
      </c>
      <c r="J136" s="5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7">
        <f t="shared" si="31"/>
        <v>0</v>
      </c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7">
        <f t="shared" si="33"/>
        <v>0</v>
      </c>
    </row>
    <row r="137" spans="1:36" ht="15" thickBot="1">
      <c r="A137" s="110" t="s">
        <v>191</v>
      </c>
      <c r="B137" s="103" t="s">
        <v>190</v>
      </c>
      <c r="C137" s="63"/>
      <c r="D137" s="63"/>
      <c r="E137" s="51">
        <v>8</v>
      </c>
      <c r="F137" s="49">
        <f>+E137+(K137+L137+M137)-(X137+Y137+Z137)</f>
        <v>8</v>
      </c>
      <c r="G137" s="17"/>
      <c r="H137" s="61">
        <f>+G137+(Q137+R137)-(AD137+AE137)</f>
        <v>0</v>
      </c>
      <c r="I137" s="50">
        <f>+G137+(Q137+R137+S137+T137)-(AD137+AE137+AF137+AG137)</f>
        <v>0</v>
      </c>
      <c r="J137" s="5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7">
        <f t="shared" si="31"/>
        <v>0</v>
      </c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7">
        <f t="shared" si="33"/>
        <v>0</v>
      </c>
    </row>
    <row r="138" spans="1:39" ht="15" thickBot="1">
      <c r="A138" s="196" t="s">
        <v>209</v>
      </c>
      <c r="B138" s="197"/>
      <c r="C138" s="45">
        <f>+D138/Metas!M34</f>
        <v>1.024643780142167</v>
      </c>
      <c r="D138" s="19">
        <f>+F138/AK138</f>
        <v>0.5840469546810352</v>
      </c>
      <c r="E138" s="14">
        <f aca="true" t="shared" si="58" ref="E138:K138">SUM(E134:E137)</f>
        <v>595</v>
      </c>
      <c r="F138" s="14">
        <f t="shared" si="58"/>
        <v>607</v>
      </c>
      <c r="G138" s="14">
        <f t="shared" si="58"/>
        <v>0</v>
      </c>
      <c r="H138" s="14">
        <f t="shared" si="58"/>
        <v>0</v>
      </c>
      <c r="I138" s="14">
        <f>SUM(I134:I137)</f>
        <v>0</v>
      </c>
      <c r="J138" s="14">
        <f t="shared" si="58"/>
        <v>0</v>
      </c>
      <c r="K138" s="14">
        <f t="shared" si="58"/>
        <v>10</v>
      </c>
      <c r="L138" s="14">
        <f aca="true" t="shared" si="59" ref="L138:V138">SUM(L134:L137)</f>
        <v>3</v>
      </c>
      <c r="M138" s="14">
        <f t="shared" si="59"/>
        <v>0</v>
      </c>
      <c r="N138" s="14">
        <f t="shared" si="59"/>
        <v>0</v>
      </c>
      <c r="O138" s="14">
        <f t="shared" si="59"/>
        <v>0</v>
      </c>
      <c r="P138" s="14">
        <f t="shared" si="59"/>
        <v>0</v>
      </c>
      <c r="Q138" s="14">
        <f t="shared" si="59"/>
        <v>0</v>
      </c>
      <c r="R138" s="14">
        <f t="shared" si="59"/>
        <v>0</v>
      </c>
      <c r="S138" s="14">
        <f t="shared" si="59"/>
        <v>0</v>
      </c>
      <c r="T138" s="14">
        <f t="shared" si="59"/>
        <v>0</v>
      </c>
      <c r="U138" s="14">
        <f t="shared" si="59"/>
        <v>0</v>
      </c>
      <c r="V138" s="14">
        <f t="shared" si="59"/>
        <v>0</v>
      </c>
      <c r="W138" s="14">
        <f t="shared" si="31"/>
        <v>13</v>
      </c>
      <c r="X138" s="14">
        <f aca="true" t="shared" si="60" ref="X138:AI138">SUM(X134:X137)</f>
        <v>0</v>
      </c>
      <c r="Y138" s="14">
        <f t="shared" si="60"/>
        <v>1</v>
      </c>
      <c r="Z138" s="14">
        <f t="shared" si="60"/>
        <v>0</v>
      </c>
      <c r="AA138" s="14">
        <f t="shared" si="60"/>
        <v>0</v>
      </c>
      <c r="AB138" s="14">
        <f t="shared" si="60"/>
        <v>0</v>
      </c>
      <c r="AC138" s="14">
        <f t="shared" si="60"/>
        <v>0</v>
      </c>
      <c r="AD138" s="14">
        <f t="shared" si="60"/>
        <v>0</v>
      </c>
      <c r="AE138" s="14">
        <f t="shared" si="60"/>
        <v>0</v>
      </c>
      <c r="AF138" s="14">
        <f t="shared" si="60"/>
        <v>0</v>
      </c>
      <c r="AG138" s="14">
        <f t="shared" si="60"/>
        <v>0</v>
      </c>
      <c r="AH138" s="14">
        <f t="shared" si="60"/>
        <v>0</v>
      </c>
      <c r="AI138" s="14">
        <f t="shared" si="60"/>
        <v>0</v>
      </c>
      <c r="AJ138" s="14">
        <f t="shared" si="33"/>
        <v>1</v>
      </c>
      <c r="AK138" s="14">
        <f>+AL138+AM138</f>
        <v>1039.3000000000002</v>
      </c>
      <c r="AL138" s="14">
        <f>6888*0.1</f>
        <v>688.8000000000001</v>
      </c>
      <c r="AM138" s="14">
        <f>1402*0.25</f>
        <v>350.5</v>
      </c>
    </row>
    <row r="139" spans="1:36" ht="15" thickBot="1">
      <c r="A139" s="110" t="s">
        <v>199</v>
      </c>
      <c r="B139" s="103" t="s">
        <v>192</v>
      </c>
      <c r="C139" s="63"/>
      <c r="D139" s="63"/>
      <c r="E139" s="51">
        <v>117</v>
      </c>
      <c r="F139" s="49">
        <f aca="true" t="shared" si="61" ref="F139:F145">+E139+(K139+L139+M139)-(X139+Y139+Z139)</f>
        <v>117</v>
      </c>
      <c r="G139" s="17"/>
      <c r="H139" s="61">
        <f aca="true" t="shared" si="62" ref="H139:H145">+G139+(Q139+R139)-(AD139+AE139)</f>
        <v>0</v>
      </c>
      <c r="I139" s="50">
        <f aca="true" t="shared" si="63" ref="I139:I145">+G139+(Q139+R139+S139+T139)-(AD139+AE139+AF139+AG139)</f>
        <v>0</v>
      </c>
      <c r="J139" s="51"/>
      <c r="K139" s="121"/>
      <c r="L139" s="121">
        <v>1</v>
      </c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7">
        <f t="shared" si="31"/>
        <v>1</v>
      </c>
      <c r="X139" s="121"/>
      <c r="Y139" s="121">
        <v>1</v>
      </c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7">
        <f t="shared" si="33"/>
        <v>1</v>
      </c>
    </row>
    <row r="140" spans="1:36" ht="15" thickBot="1">
      <c r="A140" s="110" t="s">
        <v>199</v>
      </c>
      <c r="B140" s="103" t="s">
        <v>193</v>
      </c>
      <c r="C140" s="63"/>
      <c r="D140" s="63"/>
      <c r="E140" s="51">
        <v>18</v>
      </c>
      <c r="F140" s="49">
        <f t="shared" si="61"/>
        <v>17</v>
      </c>
      <c r="G140" s="17"/>
      <c r="H140" s="61">
        <f t="shared" si="62"/>
        <v>0</v>
      </c>
      <c r="I140" s="50">
        <f t="shared" si="63"/>
        <v>0</v>
      </c>
      <c r="J140" s="5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7">
        <f t="shared" si="31"/>
        <v>0</v>
      </c>
      <c r="X140" s="121"/>
      <c r="Y140" s="121">
        <v>1</v>
      </c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7">
        <f t="shared" si="33"/>
        <v>1</v>
      </c>
    </row>
    <row r="141" spans="1:36" ht="15" thickBot="1">
      <c r="A141" s="110" t="s">
        <v>199</v>
      </c>
      <c r="B141" s="103" t="s">
        <v>194</v>
      </c>
      <c r="C141" s="63"/>
      <c r="D141" s="63"/>
      <c r="E141" s="51">
        <v>22</v>
      </c>
      <c r="F141" s="49">
        <f t="shared" si="61"/>
        <v>22</v>
      </c>
      <c r="G141" s="17"/>
      <c r="H141" s="61">
        <f t="shared" si="62"/>
        <v>0</v>
      </c>
      <c r="I141" s="50">
        <f t="shared" si="63"/>
        <v>0</v>
      </c>
      <c r="J141" s="5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7">
        <f aca="true" t="shared" si="64" ref="W141:W146">SUM(K141:V141)</f>
        <v>0</v>
      </c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7">
        <f aca="true" t="shared" si="65" ref="AJ141:AJ146">SUM(X141:AI141)</f>
        <v>0</v>
      </c>
    </row>
    <row r="142" spans="1:36" ht="15" thickBot="1">
      <c r="A142" s="110" t="s">
        <v>199</v>
      </c>
      <c r="B142" s="103" t="s">
        <v>195</v>
      </c>
      <c r="C142" s="63"/>
      <c r="D142" s="63"/>
      <c r="E142" s="51">
        <v>7</v>
      </c>
      <c r="F142" s="49">
        <f t="shared" si="61"/>
        <v>7</v>
      </c>
      <c r="G142" s="17"/>
      <c r="H142" s="61">
        <f t="shared" si="62"/>
        <v>0</v>
      </c>
      <c r="I142" s="50">
        <f t="shared" si="63"/>
        <v>0</v>
      </c>
      <c r="J142" s="5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7">
        <f t="shared" si="64"/>
        <v>0</v>
      </c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7">
        <f t="shared" si="65"/>
        <v>0</v>
      </c>
    </row>
    <row r="143" spans="1:36" ht="15" thickBot="1">
      <c r="A143" s="110" t="s">
        <v>199</v>
      </c>
      <c r="B143" s="103" t="s">
        <v>196</v>
      </c>
      <c r="C143" s="63"/>
      <c r="D143" s="63"/>
      <c r="E143" s="51">
        <v>50</v>
      </c>
      <c r="F143" s="49">
        <f t="shared" si="61"/>
        <v>50</v>
      </c>
      <c r="G143" s="17"/>
      <c r="H143" s="61">
        <f t="shared" si="62"/>
        <v>0</v>
      </c>
      <c r="I143" s="50">
        <f t="shared" si="63"/>
        <v>0</v>
      </c>
      <c r="J143" s="5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7">
        <f t="shared" si="64"/>
        <v>0</v>
      </c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7">
        <f t="shared" si="65"/>
        <v>0</v>
      </c>
    </row>
    <row r="144" spans="1:36" ht="15" thickBot="1">
      <c r="A144" s="110" t="s">
        <v>199</v>
      </c>
      <c r="B144" s="103" t="s">
        <v>197</v>
      </c>
      <c r="C144" s="63"/>
      <c r="D144" s="63"/>
      <c r="E144" s="51">
        <v>28</v>
      </c>
      <c r="F144" s="49">
        <f t="shared" si="61"/>
        <v>27</v>
      </c>
      <c r="G144" s="17"/>
      <c r="H144" s="61">
        <f t="shared" si="62"/>
        <v>0</v>
      </c>
      <c r="I144" s="50">
        <f t="shared" si="63"/>
        <v>0</v>
      </c>
      <c r="J144" s="5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7">
        <f t="shared" si="64"/>
        <v>0</v>
      </c>
      <c r="X144" s="121"/>
      <c r="Y144" s="121">
        <v>1</v>
      </c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7">
        <f t="shared" si="65"/>
        <v>1</v>
      </c>
    </row>
    <row r="145" spans="1:36" ht="15" thickBot="1">
      <c r="A145" s="110" t="s">
        <v>199</v>
      </c>
      <c r="B145" s="103" t="s">
        <v>198</v>
      </c>
      <c r="C145" s="63"/>
      <c r="D145" s="63"/>
      <c r="E145" s="51">
        <v>17</v>
      </c>
      <c r="F145" s="49">
        <f t="shared" si="61"/>
        <v>17</v>
      </c>
      <c r="G145" s="17"/>
      <c r="H145" s="61">
        <f t="shared" si="62"/>
        <v>0</v>
      </c>
      <c r="I145" s="50">
        <f t="shared" si="63"/>
        <v>0</v>
      </c>
      <c r="J145" s="5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7">
        <f t="shared" si="64"/>
        <v>0</v>
      </c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7">
        <f t="shared" si="65"/>
        <v>0</v>
      </c>
    </row>
    <row r="146" spans="1:39" ht="15" thickBot="1">
      <c r="A146" s="196" t="s">
        <v>210</v>
      </c>
      <c r="B146" s="197"/>
      <c r="C146" s="45">
        <f>+D146/Metas!M35</f>
        <v>0.9349908501868163</v>
      </c>
      <c r="D146" s="19">
        <f>+F146/AK146</f>
        <v>0.5890442356176943</v>
      </c>
      <c r="E146" s="14">
        <f aca="true" t="shared" si="66" ref="E146:K146">SUM(E139:E145)</f>
        <v>259</v>
      </c>
      <c r="F146" s="14">
        <f t="shared" si="66"/>
        <v>257</v>
      </c>
      <c r="G146" s="14">
        <f t="shared" si="66"/>
        <v>0</v>
      </c>
      <c r="H146" s="14">
        <f t="shared" si="66"/>
        <v>0</v>
      </c>
      <c r="I146" s="14">
        <f>SUM(I139:I145)</f>
        <v>0</v>
      </c>
      <c r="J146" s="14">
        <f t="shared" si="66"/>
        <v>0</v>
      </c>
      <c r="K146" s="14">
        <f t="shared" si="66"/>
        <v>0</v>
      </c>
      <c r="L146" s="14">
        <f aca="true" t="shared" si="67" ref="L146:V146">SUM(L139:L145)</f>
        <v>1</v>
      </c>
      <c r="M146" s="14">
        <f t="shared" si="67"/>
        <v>0</v>
      </c>
      <c r="N146" s="14">
        <f t="shared" si="67"/>
        <v>0</v>
      </c>
      <c r="O146" s="14">
        <f t="shared" si="67"/>
        <v>0</v>
      </c>
      <c r="P146" s="14">
        <f t="shared" si="67"/>
        <v>0</v>
      </c>
      <c r="Q146" s="14">
        <f t="shared" si="67"/>
        <v>0</v>
      </c>
      <c r="R146" s="14">
        <f t="shared" si="67"/>
        <v>0</v>
      </c>
      <c r="S146" s="14">
        <f t="shared" si="67"/>
        <v>0</v>
      </c>
      <c r="T146" s="14">
        <f t="shared" si="67"/>
        <v>0</v>
      </c>
      <c r="U146" s="14">
        <f t="shared" si="67"/>
        <v>0</v>
      </c>
      <c r="V146" s="14">
        <f t="shared" si="67"/>
        <v>0</v>
      </c>
      <c r="W146" s="14">
        <f t="shared" si="64"/>
        <v>1</v>
      </c>
      <c r="X146" s="14">
        <f aca="true" t="shared" si="68" ref="X146:AI146">SUM(X139:X145)</f>
        <v>0</v>
      </c>
      <c r="Y146" s="14">
        <f t="shared" si="68"/>
        <v>3</v>
      </c>
      <c r="Z146" s="14">
        <f t="shared" si="68"/>
        <v>0</v>
      </c>
      <c r="AA146" s="14">
        <f t="shared" si="68"/>
        <v>0</v>
      </c>
      <c r="AB146" s="14">
        <f t="shared" si="68"/>
        <v>0</v>
      </c>
      <c r="AC146" s="14">
        <f t="shared" si="68"/>
        <v>0</v>
      </c>
      <c r="AD146" s="14">
        <f t="shared" si="68"/>
        <v>0</v>
      </c>
      <c r="AE146" s="14">
        <f t="shared" si="68"/>
        <v>0</v>
      </c>
      <c r="AF146" s="14">
        <f t="shared" si="68"/>
        <v>0</v>
      </c>
      <c r="AG146" s="14">
        <f t="shared" si="68"/>
        <v>0</v>
      </c>
      <c r="AH146" s="14">
        <f t="shared" si="68"/>
        <v>0</v>
      </c>
      <c r="AI146" s="14">
        <f t="shared" si="68"/>
        <v>0</v>
      </c>
      <c r="AJ146" s="14">
        <f t="shared" si="65"/>
        <v>3</v>
      </c>
      <c r="AK146" s="14">
        <f>+AL146+AM146</f>
        <v>436.3</v>
      </c>
      <c r="AL146" s="14">
        <f>2603*0.1</f>
        <v>260.3</v>
      </c>
      <c r="AM146" s="14">
        <f>704*0.25</f>
        <v>176</v>
      </c>
    </row>
    <row r="147" spans="2:39" ht="14.25">
      <c r="B147" s="148" t="s">
        <v>215</v>
      </c>
      <c r="C147" s="72"/>
      <c r="D147" s="81"/>
      <c r="E147" s="76">
        <f aca="true" t="shared" si="69" ref="E147:AM147">+E25+E36+E47+E61+E72+E78+E89+E106+E119+E133+E138+E146</f>
        <v>27004</v>
      </c>
      <c r="F147" s="76">
        <f t="shared" si="69"/>
        <v>27293</v>
      </c>
      <c r="G147" s="76">
        <f t="shared" si="69"/>
        <v>0</v>
      </c>
      <c r="H147" s="76">
        <f t="shared" si="69"/>
        <v>0</v>
      </c>
      <c r="I147" s="76">
        <f>+I25+I36+I47+I61+I72+I78+I89+I106+I119+I133+I138+I146</f>
        <v>0</v>
      </c>
      <c r="J147" s="76">
        <f t="shared" si="69"/>
        <v>0</v>
      </c>
      <c r="K147" s="76">
        <f t="shared" si="69"/>
        <v>219</v>
      </c>
      <c r="L147" s="76">
        <f t="shared" si="69"/>
        <v>228</v>
      </c>
      <c r="M147" s="76">
        <f t="shared" si="69"/>
        <v>0</v>
      </c>
      <c r="N147" s="76">
        <f t="shared" si="69"/>
        <v>0</v>
      </c>
      <c r="O147" s="76">
        <f t="shared" si="69"/>
        <v>0</v>
      </c>
      <c r="P147" s="76">
        <f t="shared" si="69"/>
        <v>0</v>
      </c>
      <c r="Q147" s="76">
        <f t="shared" si="69"/>
        <v>0</v>
      </c>
      <c r="R147" s="76">
        <f t="shared" si="69"/>
        <v>0</v>
      </c>
      <c r="S147" s="76">
        <f t="shared" si="69"/>
        <v>0</v>
      </c>
      <c r="T147" s="76">
        <f t="shared" si="69"/>
        <v>0</v>
      </c>
      <c r="U147" s="76">
        <f t="shared" si="69"/>
        <v>0</v>
      </c>
      <c r="V147" s="76">
        <f t="shared" si="69"/>
        <v>0</v>
      </c>
      <c r="W147" s="76">
        <f t="shared" si="69"/>
        <v>447</v>
      </c>
      <c r="X147" s="76">
        <f t="shared" si="69"/>
        <v>60</v>
      </c>
      <c r="Y147" s="76">
        <f t="shared" si="69"/>
        <v>98</v>
      </c>
      <c r="Z147" s="76">
        <f t="shared" si="69"/>
        <v>0</v>
      </c>
      <c r="AA147" s="76">
        <f t="shared" si="69"/>
        <v>0</v>
      </c>
      <c r="AB147" s="76">
        <f t="shared" si="69"/>
        <v>0</v>
      </c>
      <c r="AC147" s="76">
        <f t="shared" si="69"/>
        <v>0</v>
      </c>
      <c r="AD147" s="76">
        <f t="shared" si="69"/>
        <v>0</v>
      </c>
      <c r="AE147" s="76">
        <f t="shared" si="69"/>
        <v>0</v>
      </c>
      <c r="AF147" s="76">
        <f t="shared" si="69"/>
        <v>0</v>
      </c>
      <c r="AG147" s="76">
        <f t="shared" si="69"/>
        <v>0</v>
      </c>
      <c r="AH147" s="76">
        <f t="shared" si="69"/>
        <v>0</v>
      </c>
      <c r="AI147" s="76">
        <f t="shared" si="69"/>
        <v>0</v>
      </c>
      <c r="AJ147" s="76">
        <f t="shared" si="69"/>
        <v>158</v>
      </c>
      <c r="AK147" s="76">
        <f t="shared" si="69"/>
        <v>55124.150000000016</v>
      </c>
      <c r="AL147" s="76">
        <f t="shared" si="69"/>
        <v>38172.90000000001</v>
      </c>
      <c r="AM147" s="76">
        <f t="shared" si="69"/>
        <v>16951.25</v>
      </c>
    </row>
    <row r="148" spans="3:4" ht="14.25">
      <c r="C148" s="74"/>
      <c r="D148" s="98"/>
    </row>
  </sheetData>
  <sheetProtection/>
  <mergeCells count="25">
    <mergeCell ref="A146:B146"/>
    <mergeCell ref="A47:B47"/>
    <mergeCell ref="A61:B61"/>
    <mergeCell ref="A72:B72"/>
    <mergeCell ref="A78:B78"/>
    <mergeCell ref="A89:B89"/>
    <mergeCell ref="A119:B119"/>
    <mergeCell ref="A133:B133"/>
    <mergeCell ref="A138:B138"/>
    <mergeCell ref="A106:B106"/>
    <mergeCell ref="A25:B25"/>
    <mergeCell ref="A36:B36"/>
    <mergeCell ref="A1:A10"/>
    <mergeCell ref="B1:B10"/>
    <mergeCell ref="D1:D10"/>
    <mergeCell ref="C1:C11"/>
    <mergeCell ref="E10:J10"/>
    <mergeCell ref="E1:AM1"/>
    <mergeCell ref="E2:AJ9"/>
    <mergeCell ref="AK2:AM9"/>
    <mergeCell ref="AM10:AM11"/>
    <mergeCell ref="K10:W10"/>
    <mergeCell ref="X10:AJ10"/>
    <mergeCell ref="AK10:AK11"/>
    <mergeCell ref="AL10:AL1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148"/>
  <sheetViews>
    <sheetView zoomScale="80" zoomScaleNormal="8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11.421875" defaultRowHeight="15"/>
  <cols>
    <col min="1" max="1" width="20.28125" style="110" bestFit="1" customWidth="1"/>
    <col min="2" max="2" width="36.7109375" style="110" bestFit="1" customWidth="1"/>
    <col min="3" max="3" width="14.421875" style="62" customWidth="1"/>
    <col min="4" max="4" width="13.421875" style="62" bestFit="1" customWidth="1"/>
    <col min="5" max="10" width="11.140625" style="76" bestFit="1" customWidth="1"/>
    <col min="11" max="12" width="9.7109375" style="76" bestFit="1" customWidth="1"/>
    <col min="13" max="15" width="7.57421875" style="76" bestFit="1" customWidth="1"/>
    <col min="16" max="16" width="7.28125" style="76" customWidth="1"/>
    <col min="17" max="17" width="7.57421875" style="76" customWidth="1"/>
    <col min="18" max="18" width="9.140625" style="76" customWidth="1"/>
    <col min="19" max="19" width="7.140625" style="76" bestFit="1" customWidth="1"/>
    <col min="20" max="20" width="9.8515625" style="76" customWidth="1"/>
    <col min="21" max="21" width="8.28125" style="76" customWidth="1"/>
    <col min="22" max="22" width="7.140625" style="76" bestFit="1" customWidth="1"/>
    <col min="23" max="24" width="9.7109375" style="76" bestFit="1" customWidth="1"/>
    <col min="25" max="25" width="8.421875" style="76" bestFit="1" customWidth="1"/>
    <col min="26" max="28" width="7.57421875" style="76" bestFit="1" customWidth="1"/>
    <col min="29" max="29" width="9.7109375" style="76" bestFit="1" customWidth="1"/>
    <col min="30" max="30" width="7.57421875" style="76" bestFit="1" customWidth="1"/>
    <col min="31" max="31" width="8.421875" style="76" bestFit="1" customWidth="1"/>
    <col min="32" max="32" width="7.140625" style="76" bestFit="1" customWidth="1"/>
    <col min="33" max="33" width="7.8515625" style="76" bestFit="1" customWidth="1"/>
    <col min="34" max="34" width="7.7109375" style="76" bestFit="1" customWidth="1"/>
    <col min="35" max="35" width="7.140625" style="76" bestFit="1" customWidth="1"/>
    <col min="36" max="36" width="9.7109375" style="76" bestFit="1" customWidth="1"/>
    <col min="37" max="37" width="12.8515625" style="76" customWidth="1"/>
    <col min="38" max="39" width="16.8515625" style="76" bestFit="1" customWidth="1"/>
    <col min="40" max="16384" width="11.421875" style="62" customWidth="1"/>
  </cols>
  <sheetData>
    <row r="1" spans="1:39" ht="73.5" customHeight="1" thickBot="1" thickTop="1">
      <c r="A1" s="204" t="s">
        <v>0</v>
      </c>
      <c r="B1" s="198" t="s">
        <v>1</v>
      </c>
      <c r="C1" s="198" t="s">
        <v>217</v>
      </c>
      <c r="D1" s="222" t="s">
        <v>213</v>
      </c>
      <c r="E1" s="256" t="s">
        <v>54</v>
      </c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8"/>
    </row>
    <row r="2" spans="1:39" ht="15" customHeight="1" thickTop="1">
      <c r="A2" s="205"/>
      <c r="B2" s="208"/>
      <c r="C2" s="199"/>
      <c r="D2" s="223"/>
      <c r="E2" s="259" t="s">
        <v>3</v>
      </c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1"/>
      <c r="AK2" s="245" t="s">
        <v>4</v>
      </c>
      <c r="AL2" s="245"/>
      <c r="AM2" s="249"/>
    </row>
    <row r="3" spans="1:39" ht="15" customHeight="1">
      <c r="A3" s="205"/>
      <c r="B3" s="208"/>
      <c r="C3" s="199"/>
      <c r="D3" s="223"/>
      <c r="E3" s="262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63"/>
      <c r="AK3" s="245"/>
      <c r="AL3" s="245"/>
      <c r="AM3" s="249"/>
    </row>
    <row r="4" spans="1:39" ht="15" customHeight="1">
      <c r="A4" s="205"/>
      <c r="B4" s="208"/>
      <c r="C4" s="199"/>
      <c r="D4" s="223"/>
      <c r="E4" s="262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63"/>
      <c r="AK4" s="245"/>
      <c r="AL4" s="245"/>
      <c r="AM4" s="249"/>
    </row>
    <row r="5" spans="1:39" ht="15" customHeight="1">
      <c r="A5" s="205"/>
      <c r="B5" s="208"/>
      <c r="C5" s="199"/>
      <c r="D5" s="223"/>
      <c r="E5" s="262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63"/>
      <c r="AK5" s="245"/>
      <c r="AL5" s="245"/>
      <c r="AM5" s="249"/>
    </row>
    <row r="6" spans="1:39" ht="15" customHeight="1">
      <c r="A6" s="205"/>
      <c r="B6" s="208"/>
      <c r="C6" s="199"/>
      <c r="D6" s="223"/>
      <c r="E6" s="262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63"/>
      <c r="AK6" s="245"/>
      <c r="AL6" s="245"/>
      <c r="AM6" s="249"/>
    </row>
    <row r="7" spans="1:39" ht="15" customHeight="1">
      <c r="A7" s="205"/>
      <c r="B7" s="208"/>
      <c r="C7" s="199"/>
      <c r="D7" s="223"/>
      <c r="E7" s="262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63"/>
      <c r="AK7" s="245"/>
      <c r="AL7" s="245"/>
      <c r="AM7" s="249"/>
    </row>
    <row r="8" spans="1:39" ht="15" customHeight="1">
      <c r="A8" s="205"/>
      <c r="B8" s="208"/>
      <c r="C8" s="199"/>
      <c r="D8" s="223"/>
      <c r="E8" s="262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63"/>
      <c r="AK8" s="245"/>
      <c r="AL8" s="245"/>
      <c r="AM8" s="249"/>
    </row>
    <row r="9" spans="1:39" ht="15.75" customHeight="1" thickBot="1">
      <c r="A9" s="205"/>
      <c r="B9" s="208"/>
      <c r="C9" s="199"/>
      <c r="D9" s="223"/>
      <c r="E9" s="264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6"/>
      <c r="AK9" s="247"/>
      <c r="AL9" s="247"/>
      <c r="AM9" s="250"/>
    </row>
    <row r="10" spans="1:39" ht="57.75" customHeight="1" thickBot="1" thickTop="1">
      <c r="A10" s="206"/>
      <c r="B10" s="200"/>
      <c r="C10" s="199"/>
      <c r="D10" s="224"/>
      <c r="E10" s="254" t="s">
        <v>216</v>
      </c>
      <c r="F10" s="255"/>
      <c r="G10" s="255"/>
      <c r="H10" s="255"/>
      <c r="I10" s="255"/>
      <c r="J10" s="269"/>
      <c r="K10" s="251" t="s">
        <v>55</v>
      </c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3"/>
      <c r="X10" s="252" t="s">
        <v>56</v>
      </c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77"/>
      <c r="AK10" s="274" t="s">
        <v>212</v>
      </c>
      <c r="AL10" s="274" t="s">
        <v>57</v>
      </c>
      <c r="AM10" s="275" t="s">
        <v>58</v>
      </c>
    </row>
    <row r="11" spans="1:39" ht="33" thickBot="1">
      <c r="A11" s="149"/>
      <c r="B11" s="149"/>
      <c r="C11" s="200"/>
      <c r="D11" s="140" t="s">
        <v>214</v>
      </c>
      <c r="E11" s="144" t="s">
        <v>292</v>
      </c>
      <c r="F11" s="145" t="s">
        <v>274</v>
      </c>
      <c r="G11" s="144" t="s">
        <v>22</v>
      </c>
      <c r="H11" s="145" t="s">
        <v>26</v>
      </c>
      <c r="I11" s="145" t="s">
        <v>28</v>
      </c>
      <c r="J11" s="145" t="s">
        <v>27</v>
      </c>
      <c r="K11" s="144" t="s">
        <v>9</v>
      </c>
      <c r="L11" s="144" t="s">
        <v>10</v>
      </c>
      <c r="M11" s="144" t="s">
        <v>11</v>
      </c>
      <c r="N11" s="144" t="s">
        <v>12</v>
      </c>
      <c r="O11" s="144" t="s">
        <v>13</v>
      </c>
      <c r="P11" s="144" t="s">
        <v>14</v>
      </c>
      <c r="Q11" s="144" t="s">
        <v>15</v>
      </c>
      <c r="R11" s="144" t="s">
        <v>16</v>
      </c>
      <c r="S11" s="144" t="s">
        <v>17</v>
      </c>
      <c r="T11" s="144" t="s">
        <v>18</v>
      </c>
      <c r="U11" s="144" t="s">
        <v>19</v>
      </c>
      <c r="V11" s="144" t="s">
        <v>20</v>
      </c>
      <c r="W11" s="144" t="s">
        <v>21</v>
      </c>
      <c r="X11" s="144" t="s">
        <v>9</v>
      </c>
      <c r="Y11" s="144" t="s">
        <v>10</v>
      </c>
      <c r="Z11" s="144" t="s">
        <v>11</v>
      </c>
      <c r="AA11" s="144" t="s">
        <v>12</v>
      </c>
      <c r="AB11" s="144" t="s">
        <v>13</v>
      </c>
      <c r="AC11" s="144" t="s">
        <v>14</v>
      </c>
      <c r="AD11" s="144" t="s">
        <v>15</v>
      </c>
      <c r="AE11" s="144" t="s">
        <v>16</v>
      </c>
      <c r="AF11" s="144" t="s">
        <v>17</v>
      </c>
      <c r="AG11" s="144" t="s">
        <v>18</v>
      </c>
      <c r="AH11" s="144" t="s">
        <v>19</v>
      </c>
      <c r="AI11" s="144" t="s">
        <v>20</v>
      </c>
      <c r="AJ11" s="145" t="s">
        <v>21</v>
      </c>
      <c r="AK11" s="273"/>
      <c r="AL11" s="273"/>
      <c r="AM11" s="276"/>
    </row>
    <row r="12" spans="1:36" ht="15" thickBot="1">
      <c r="A12" s="110" t="s">
        <v>78</v>
      </c>
      <c r="B12" s="103" t="s">
        <v>65</v>
      </c>
      <c r="C12" s="63"/>
      <c r="D12" s="63"/>
      <c r="E12" s="17">
        <v>3588</v>
      </c>
      <c r="F12" s="49">
        <f aca="true" t="shared" si="0" ref="F12:F24">+E12+(K12+L12+M12)-(X12+Y12+Z12)</f>
        <v>3578</v>
      </c>
      <c r="G12" s="17"/>
      <c r="H12" s="61">
        <f>+G12+(Q12+R12)-(AD12+AE12)</f>
        <v>0</v>
      </c>
      <c r="I12" s="50">
        <f aca="true" t="shared" si="1" ref="I12:I24">+G12+(Q12+R12+S12+T12)-(AD12+AE12+AF12+AG12)</f>
        <v>0</v>
      </c>
      <c r="J12" s="51"/>
      <c r="K12" s="126">
        <v>5</v>
      </c>
      <c r="L12" s="126">
        <v>3</v>
      </c>
      <c r="M12" s="126"/>
      <c r="N12" s="126"/>
      <c r="O12" s="126"/>
      <c r="P12" s="126"/>
      <c r="Q12" s="126"/>
      <c r="R12" s="126"/>
      <c r="S12" s="126"/>
      <c r="T12" s="127"/>
      <c r="U12" s="126"/>
      <c r="V12" s="52"/>
      <c r="W12" s="17">
        <f>SUM(K12:V12)</f>
        <v>8</v>
      </c>
      <c r="X12" s="126">
        <v>9</v>
      </c>
      <c r="Y12" s="126">
        <v>9</v>
      </c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7">
        <f>SUM(X12:AI12)</f>
        <v>18</v>
      </c>
    </row>
    <row r="13" spans="1:36" ht="15" thickBot="1">
      <c r="A13" s="110" t="s">
        <v>78</v>
      </c>
      <c r="B13" s="103" t="s">
        <v>66</v>
      </c>
      <c r="C13" s="63"/>
      <c r="D13" s="63"/>
      <c r="E13" s="17">
        <v>2558</v>
      </c>
      <c r="F13" s="49">
        <f t="shared" si="0"/>
        <v>2560</v>
      </c>
      <c r="G13" s="17"/>
      <c r="H13" s="61">
        <f aca="true" t="shared" si="2" ref="H13:H24">+G13+(Q13+R13)-(AD13+AE13)</f>
        <v>0</v>
      </c>
      <c r="I13" s="50">
        <f t="shared" si="1"/>
        <v>0</v>
      </c>
      <c r="J13" s="51"/>
      <c r="K13" s="126">
        <v>25</v>
      </c>
      <c r="L13" s="126">
        <v>41</v>
      </c>
      <c r="M13" s="126"/>
      <c r="N13" s="126"/>
      <c r="O13" s="126"/>
      <c r="P13" s="126"/>
      <c r="Q13" s="126"/>
      <c r="R13" s="126"/>
      <c r="S13" s="126"/>
      <c r="T13" s="127"/>
      <c r="U13" s="126"/>
      <c r="V13" s="52"/>
      <c r="W13" s="17">
        <f aca="true" t="shared" si="3" ref="W13:W24">SUM(K13:V13)</f>
        <v>66</v>
      </c>
      <c r="X13" s="126">
        <v>18</v>
      </c>
      <c r="Y13" s="126">
        <v>46</v>
      </c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7">
        <f aca="true" t="shared" si="4" ref="AJ13:AJ75">SUM(X13:AI13)</f>
        <v>64</v>
      </c>
    </row>
    <row r="14" spans="1:36" ht="15" thickBot="1">
      <c r="A14" s="110" t="s">
        <v>78</v>
      </c>
      <c r="B14" s="103" t="s">
        <v>67</v>
      </c>
      <c r="C14" s="63"/>
      <c r="D14" s="63"/>
      <c r="E14" s="17">
        <v>3021</v>
      </c>
      <c r="F14" s="49">
        <f t="shared" si="0"/>
        <v>3077</v>
      </c>
      <c r="G14" s="17"/>
      <c r="H14" s="61">
        <f t="shared" si="2"/>
        <v>0</v>
      </c>
      <c r="I14" s="50">
        <f t="shared" si="1"/>
        <v>0</v>
      </c>
      <c r="J14" s="51"/>
      <c r="K14" s="126">
        <v>24</v>
      </c>
      <c r="L14" s="126">
        <v>53</v>
      </c>
      <c r="M14" s="126"/>
      <c r="N14" s="126"/>
      <c r="O14" s="126"/>
      <c r="P14" s="126"/>
      <c r="Q14" s="126"/>
      <c r="R14" s="126"/>
      <c r="S14" s="126"/>
      <c r="T14" s="127"/>
      <c r="U14" s="126"/>
      <c r="V14" s="52"/>
      <c r="W14" s="17">
        <f t="shared" si="3"/>
        <v>77</v>
      </c>
      <c r="X14" s="126">
        <v>11</v>
      </c>
      <c r="Y14" s="126">
        <v>10</v>
      </c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7">
        <f t="shared" si="4"/>
        <v>21</v>
      </c>
    </row>
    <row r="15" spans="1:36" ht="15" thickBot="1">
      <c r="A15" s="110" t="s">
        <v>78</v>
      </c>
      <c r="B15" s="103" t="s">
        <v>68</v>
      </c>
      <c r="C15" s="63"/>
      <c r="D15" s="63"/>
      <c r="E15" s="17">
        <v>3499</v>
      </c>
      <c r="F15" s="49">
        <f t="shared" si="0"/>
        <v>3535</v>
      </c>
      <c r="G15" s="17"/>
      <c r="H15" s="61">
        <f t="shared" si="2"/>
        <v>0</v>
      </c>
      <c r="I15" s="50">
        <f t="shared" si="1"/>
        <v>0</v>
      </c>
      <c r="J15" s="51"/>
      <c r="K15" s="126">
        <v>24</v>
      </c>
      <c r="L15" s="126">
        <v>12</v>
      </c>
      <c r="M15" s="126"/>
      <c r="N15" s="126"/>
      <c r="O15" s="126"/>
      <c r="P15" s="126"/>
      <c r="Q15" s="126"/>
      <c r="R15" s="126"/>
      <c r="S15" s="126"/>
      <c r="T15" s="127"/>
      <c r="U15" s="126"/>
      <c r="V15" s="52"/>
      <c r="W15" s="17">
        <f t="shared" si="3"/>
        <v>36</v>
      </c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7">
        <f t="shared" si="4"/>
        <v>0</v>
      </c>
    </row>
    <row r="16" spans="1:36" ht="15" thickBot="1">
      <c r="A16" s="110" t="s">
        <v>78</v>
      </c>
      <c r="B16" s="103" t="s">
        <v>69</v>
      </c>
      <c r="C16" s="66"/>
      <c r="D16" s="63"/>
      <c r="E16" s="17">
        <v>2487</v>
      </c>
      <c r="F16" s="49">
        <f t="shared" si="0"/>
        <v>2521</v>
      </c>
      <c r="G16" s="17"/>
      <c r="H16" s="61">
        <f t="shared" si="2"/>
        <v>0</v>
      </c>
      <c r="I16" s="50">
        <f t="shared" si="1"/>
        <v>0</v>
      </c>
      <c r="J16" s="51"/>
      <c r="K16" s="126">
        <v>18</v>
      </c>
      <c r="L16" s="126">
        <v>17</v>
      </c>
      <c r="M16" s="126"/>
      <c r="N16" s="126"/>
      <c r="O16" s="126"/>
      <c r="P16" s="126"/>
      <c r="Q16" s="126"/>
      <c r="R16" s="126"/>
      <c r="S16" s="126"/>
      <c r="T16" s="127"/>
      <c r="U16" s="126"/>
      <c r="V16" s="52"/>
      <c r="W16" s="17">
        <f t="shared" si="3"/>
        <v>35</v>
      </c>
      <c r="X16" s="126">
        <v>1</v>
      </c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7">
        <f t="shared" si="4"/>
        <v>1</v>
      </c>
    </row>
    <row r="17" spans="1:36" ht="15" thickBot="1">
      <c r="A17" s="110" t="s">
        <v>78</v>
      </c>
      <c r="B17" s="103" t="s">
        <v>70</v>
      </c>
      <c r="C17" s="63"/>
      <c r="D17" s="63"/>
      <c r="E17" s="17">
        <v>1377</v>
      </c>
      <c r="F17" s="49">
        <f t="shared" si="0"/>
        <v>1351</v>
      </c>
      <c r="G17" s="17"/>
      <c r="H17" s="61">
        <f t="shared" si="2"/>
        <v>0</v>
      </c>
      <c r="I17" s="50">
        <f t="shared" si="1"/>
        <v>0</v>
      </c>
      <c r="J17" s="51"/>
      <c r="K17" s="126"/>
      <c r="L17" s="126">
        <v>12</v>
      </c>
      <c r="M17" s="126"/>
      <c r="N17" s="126"/>
      <c r="O17" s="126"/>
      <c r="P17" s="126"/>
      <c r="Q17" s="126"/>
      <c r="R17" s="126"/>
      <c r="S17" s="126"/>
      <c r="T17" s="127"/>
      <c r="U17" s="126"/>
      <c r="V17" s="52"/>
      <c r="W17" s="17">
        <f t="shared" si="3"/>
        <v>12</v>
      </c>
      <c r="X17" s="126"/>
      <c r="Y17" s="126">
        <v>38</v>
      </c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7">
        <f t="shared" si="4"/>
        <v>38</v>
      </c>
    </row>
    <row r="18" spans="1:36" ht="15" thickBot="1">
      <c r="A18" s="110" t="s">
        <v>78</v>
      </c>
      <c r="B18" s="103" t="s">
        <v>71</v>
      </c>
      <c r="C18" s="63"/>
      <c r="D18" s="63"/>
      <c r="E18" s="17">
        <v>651</v>
      </c>
      <c r="F18" s="49">
        <f t="shared" si="0"/>
        <v>659</v>
      </c>
      <c r="G18" s="17"/>
      <c r="H18" s="61">
        <f t="shared" si="2"/>
        <v>0</v>
      </c>
      <c r="I18" s="50">
        <f t="shared" si="1"/>
        <v>0</v>
      </c>
      <c r="J18" s="51"/>
      <c r="K18" s="126">
        <v>4</v>
      </c>
      <c r="L18" s="126">
        <v>4</v>
      </c>
      <c r="M18" s="126"/>
      <c r="N18" s="126"/>
      <c r="O18" s="126"/>
      <c r="P18" s="126"/>
      <c r="Q18" s="126"/>
      <c r="R18" s="126"/>
      <c r="S18" s="126"/>
      <c r="T18" s="127"/>
      <c r="U18" s="126"/>
      <c r="V18" s="52"/>
      <c r="W18" s="17">
        <f t="shared" si="3"/>
        <v>8</v>
      </c>
      <c r="X18" s="121"/>
      <c r="Y18" s="121"/>
      <c r="Z18" s="121"/>
      <c r="AA18" s="121"/>
      <c r="AB18" s="121"/>
      <c r="AC18" s="121"/>
      <c r="AD18" s="121"/>
      <c r="AE18" s="121"/>
      <c r="AF18" s="121"/>
      <c r="AG18" s="126"/>
      <c r="AH18" s="126"/>
      <c r="AI18" s="126"/>
      <c r="AJ18" s="17">
        <f t="shared" si="4"/>
        <v>0</v>
      </c>
    </row>
    <row r="19" spans="1:36" ht="15" thickBot="1">
      <c r="A19" s="110" t="s">
        <v>78</v>
      </c>
      <c r="B19" s="103" t="s">
        <v>72</v>
      </c>
      <c r="C19" s="63"/>
      <c r="D19" s="63"/>
      <c r="E19" s="17">
        <v>101</v>
      </c>
      <c r="F19" s="49">
        <f t="shared" si="0"/>
        <v>105</v>
      </c>
      <c r="G19" s="17"/>
      <c r="H19" s="61">
        <f t="shared" si="2"/>
        <v>0</v>
      </c>
      <c r="I19" s="50">
        <f t="shared" si="1"/>
        <v>0</v>
      </c>
      <c r="J19" s="51"/>
      <c r="K19" s="126">
        <v>3</v>
      </c>
      <c r="L19" s="126">
        <v>1</v>
      </c>
      <c r="M19" s="126"/>
      <c r="N19" s="126"/>
      <c r="O19" s="126"/>
      <c r="P19" s="126"/>
      <c r="Q19" s="126"/>
      <c r="R19" s="126"/>
      <c r="S19" s="126"/>
      <c r="T19" s="127"/>
      <c r="U19" s="126"/>
      <c r="V19" s="52"/>
      <c r="W19" s="17">
        <f t="shared" si="3"/>
        <v>4</v>
      </c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7">
        <f t="shared" si="4"/>
        <v>0</v>
      </c>
    </row>
    <row r="20" spans="1:36" ht="15" thickBot="1">
      <c r="A20" s="110" t="s">
        <v>78</v>
      </c>
      <c r="B20" s="103" t="s">
        <v>73</v>
      </c>
      <c r="C20" s="63"/>
      <c r="D20" s="63"/>
      <c r="E20" s="17">
        <v>79</v>
      </c>
      <c r="F20" s="49">
        <f t="shared" si="0"/>
        <v>80</v>
      </c>
      <c r="G20" s="17"/>
      <c r="H20" s="61">
        <f t="shared" si="2"/>
        <v>0</v>
      </c>
      <c r="I20" s="50">
        <f t="shared" si="1"/>
        <v>0</v>
      </c>
      <c r="J20" s="51"/>
      <c r="K20" s="126">
        <v>1</v>
      </c>
      <c r="L20" s="126"/>
      <c r="M20" s="126"/>
      <c r="N20" s="126"/>
      <c r="O20" s="126"/>
      <c r="P20" s="126"/>
      <c r="Q20" s="126"/>
      <c r="R20" s="126"/>
      <c r="S20" s="126"/>
      <c r="T20" s="127"/>
      <c r="U20" s="126"/>
      <c r="V20" s="52"/>
      <c r="W20" s="17">
        <f t="shared" si="3"/>
        <v>1</v>
      </c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7">
        <f t="shared" si="4"/>
        <v>0</v>
      </c>
    </row>
    <row r="21" spans="1:36" ht="15" thickBot="1">
      <c r="A21" s="110" t="s">
        <v>78</v>
      </c>
      <c r="B21" s="103" t="s">
        <v>74</v>
      </c>
      <c r="C21" s="67"/>
      <c r="D21" s="63"/>
      <c r="E21" s="17">
        <v>77</v>
      </c>
      <c r="F21" s="49">
        <f t="shared" si="0"/>
        <v>83</v>
      </c>
      <c r="G21" s="17"/>
      <c r="H21" s="61">
        <f t="shared" si="2"/>
        <v>0</v>
      </c>
      <c r="I21" s="50">
        <f t="shared" si="1"/>
        <v>0</v>
      </c>
      <c r="J21" s="51"/>
      <c r="K21" s="126">
        <v>2</v>
      </c>
      <c r="L21" s="126">
        <v>4</v>
      </c>
      <c r="M21" s="126"/>
      <c r="N21" s="126"/>
      <c r="O21" s="126"/>
      <c r="P21" s="126"/>
      <c r="Q21" s="126"/>
      <c r="R21" s="126"/>
      <c r="S21" s="126"/>
      <c r="T21" s="127"/>
      <c r="U21" s="126"/>
      <c r="V21" s="52"/>
      <c r="W21" s="17">
        <f t="shared" si="3"/>
        <v>6</v>
      </c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7">
        <f t="shared" si="4"/>
        <v>0</v>
      </c>
    </row>
    <row r="22" spans="1:36" ht="15" thickBot="1">
      <c r="A22" s="110" t="s">
        <v>78</v>
      </c>
      <c r="B22" s="103" t="s">
        <v>75</v>
      </c>
      <c r="C22" s="63"/>
      <c r="D22" s="63"/>
      <c r="E22" s="17">
        <v>370</v>
      </c>
      <c r="F22" s="49">
        <f t="shared" si="0"/>
        <v>372</v>
      </c>
      <c r="G22" s="17"/>
      <c r="H22" s="61">
        <f t="shared" si="2"/>
        <v>0</v>
      </c>
      <c r="I22" s="50">
        <f t="shared" si="1"/>
        <v>0</v>
      </c>
      <c r="J22" s="51"/>
      <c r="K22" s="126">
        <v>3</v>
      </c>
      <c r="L22" s="126">
        <v>2</v>
      </c>
      <c r="M22" s="126"/>
      <c r="N22" s="126"/>
      <c r="O22" s="126"/>
      <c r="P22" s="126"/>
      <c r="Q22" s="126"/>
      <c r="R22" s="126"/>
      <c r="S22" s="126"/>
      <c r="T22" s="127"/>
      <c r="U22" s="126"/>
      <c r="V22" s="52"/>
      <c r="W22" s="17">
        <f t="shared" si="3"/>
        <v>5</v>
      </c>
      <c r="X22" s="126">
        <v>3</v>
      </c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7">
        <f>SUM(X22:AI22)</f>
        <v>3</v>
      </c>
    </row>
    <row r="23" spans="1:36" ht="15" thickBot="1">
      <c r="A23" s="110" t="s">
        <v>78</v>
      </c>
      <c r="B23" s="103" t="s">
        <v>76</v>
      </c>
      <c r="C23" s="63"/>
      <c r="D23" s="63"/>
      <c r="E23" s="17">
        <v>140</v>
      </c>
      <c r="F23" s="49">
        <f t="shared" si="0"/>
        <v>138</v>
      </c>
      <c r="G23" s="17"/>
      <c r="H23" s="61">
        <f t="shared" si="2"/>
        <v>0</v>
      </c>
      <c r="I23" s="50">
        <f t="shared" si="1"/>
        <v>0</v>
      </c>
      <c r="J23" s="51"/>
      <c r="K23" s="126"/>
      <c r="L23" s="126"/>
      <c r="M23" s="126"/>
      <c r="N23" s="126"/>
      <c r="O23" s="126"/>
      <c r="P23" s="126"/>
      <c r="Q23" s="126"/>
      <c r="R23" s="126"/>
      <c r="S23" s="126"/>
      <c r="T23" s="127"/>
      <c r="U23" s="126"/>
      <c r="V23" s="52"/>
      <c r="W23" s="17">
        <f t="shared" si="3"/>
        <v>0</v>
      </c>
      <c r="X23" s="126">
        <v>2</v>
      </c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7">
        <f t="shared" si="4"/>
        <v>2</v>
      </c>
    </row>
    <row r="24" spans="1:36" ht="15" thickBot="1">
      <c r="A24" s="110" t="s">
        <v>78</v>
      </c>
      <c r="B24" s="103" t="s">
        <v>77</v>
      </c>
      <c r="C24" s="63"/>
      <c r="D24" s="63"/>
      <c r="E24" s="17">
        <v>281</v>
      </c>
      <c r="F24" s="49">
        <f t="shared" si="0"/>
        <v>289</v>
      </c>
      <c r="G24" s="17"/>
      <c r="H24" s="61">
        <f t="shared" si="2"/>
        <v>0</v>
      </c>
      <c r="I24" s="50">
        <f t="shared" si="1"/>
        <v>0</v>
      </c>
      <c r="J24" s="51"/>
      <c r="K24" s="126">
        <v>6</v>
      </c>
      <c r="L24" s="126">
        <v>2</v>
      </c>
      <c r="M24" s="126"/>
      <c r="N24" s="126"/>
      <c r="O24" s="126"/>
      <c r="P24" s="126"/>
      <c r="Q24" s="126"/>
      <c r="R24" s="126"/>
      <c r="S24" s="126"/>
      <c r="T24" s="127"/>
      <c r="U24" s="126"/>
      <c r="V24" s="52"/>
      <c r="W24" s="17">
        <f t="shared" si="3"/>
        <v>8</v>
      </c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7">
        <f t="shared" si="4"/>
        <v>0</v>
      </c>
    </row>
    <row r="25" spans="1:39" ht="15" thickBot="1">
      <c r="A25" s="196" t="s">
        <v>200</v>
      </c>
      <c r="B25" s="197"/>
      <c r="C25" s="45">
        <f>+D25/Metas!N30</f>
        <v>0.8202151843655646</v>
      </c>
      <c r="D25" s="19">
        <f>+F25/AK25</f>
        <v>0.5167355661503057</v>
      </c>
      <c r="E25" s="14">
        <f aca="true" t="shared" si="5" ref="E25:K25">SUM(E12:E24)</f>
        <v>18229</v>
      </c>
      <c r="F25" s="14">
        <f t="shared" si="5"/>
        <v>18348</v>
      </c>
      <c r="G25" s="14">
        <f t="shared" si="5"/>
        <v>0</v>
      </c>
      <c r="H25" s="14">
        <f t="shared" si="5"/>
        <v>0</v>
      </c>
      <c r="I25" s="14">
        <f>SUM(I12:I24)</f>
        <v>0</v>
      </c>
      <c r="J25" s="14">
        <f t="shared" si="5"/>
        <v>0</v>
      </c>
      <c r="K25" s="14">
        <f t="shared" si="5"/>
        <v>115</v>
      </c>
      <c r="L25" s="14">
        <f aca="true" t="shared" si="6" ref="L25:V25">SUM(L12:L24)</f>
        <v>151</v>
      </c>
      <c r="M25" s="14">
        <f t="shared" si="6"/>
        <v>0</v>
      </c>
      <c r="N25" s="14">
        <f t="shared" si="6"/>
        <v>0</v>
      </c>
      <c r="O25" s="14">
        <f t="shared" si="6"/>
        <v>0</v>
      </c>
      <c r="P25" s="14">
        <f t="shared" si="6"/>
        <v>0</v>
      </c>
      <c r="Q25" s="14">
        <f t="shared" si="6"/>
        <v>0</v>
      </c>
      <c r="R25" s="14">
        <f t="shared" si="6"/>
        <v>0</v>
      </c>
      <c r="S25" s="14">
        <f t="shared" si="6"/>
        <v>0</v>
      </c>
      <c r="T25" s="14">
        <f t="shared" si="6"/>
        <v>0</v>
      </c>
      <c r="U25" s="14">
        <f t="shared" si="6"/>
        <v>0</v>
      </c>
      <c r="V25" s="14">
        <f t="shared" si="6"/>
        <v>0</v>
      </c>
      <c r="W25" s="14">
        <f aca="true" t="shared" si="7" ref="W25:W75">SUM(K25:V25)</f>
        <v>266</v>
      </c>
      <c r="X25" s="14">
        <f aca="true" t="shared" si="8" ref="X25:AI25">SUM(X12:X24)</f>
        <v>44</v>
      </c>
      <c r="Y25" s="14">
        <f t="shared" si="8"/>
        <v>103</v>
      </c>
      <c r="Z25" s="14">
        <f t="shared" si="8"/>
        <v>0</v>
      </c>
      <c r="AA25" s="14">
        <f t="shared" si="8"/>
        <v>0</v>
      </c>
      <c r="AB25" s="14">
        <f t="shared" si="8"/>
        <v>0</v>
      </c>
      <c r="AC25" s="14">
        <f t="shared" si="8"/>
        <v>0</v>
      </c>
      <c r="AD25" s="14">
        <f t="shared" si="8"/>
        <v>0</v>
      </c>
      <c r="AE25" s="14">
        <f t="shared" si="8"/>
        <v>0</v>
      </c>
      <c r="AF25" s="14">
        <f t="shared" si="8"/>
        <v>0</v>
      </c>
      <c r="AG25" s="14">
        <f t="shared" si="8"/>
        <v>0</v>
      </c>
      <c r="AH25" s="14">
        <f t="shared" si="8"/>
        <v>0</v>
      </c>
      <c r="AI25" s="14">
        <f t="shared" si="8"/>
        <v>0</v>
      </c>
      <c r="AJ25" s="14">
        <f t="shared" si="4"/>
        <v>147</v>
      </c>
      <c r="AK25" s="14">
        <f>+AL25+AM25</f>
        <v>35507.523</v>
      </c>
      <c r="AL25" s="14">
        <f>132989*0.157</f>
        <v>20879.273</v>
      </c>
      <c r="AM25" s="14">
        <f>22750*0.643</f>
        <v>14628.25</v>
      </c>
    </row>
    <row r="26" spans="1:36" ht="15" thickBot="1">
      <c r="A26" s="110" t="s">
        <v>79</v>
      </c>
      <c r="B26" s="103" t="s">
        <v>80</v>
      </c>
      <c r="C26" s="63"/>
      <c r="D26" s="63"/>
      <c r="E26" s="17">
        <v>2924</v>
      </c>
      <c r="F26" s="49">
        <f aca="true" t="shared" si="9" ref="F26:F35">+E26+(K26+L26+M26)-(X26+Y26+Z26)</f>
        <v>2968</v>
      </c>
      <c r="G26" s="17"/>
      <c r="H26" s="61">
        <f>+G26+(Q26+R26)-(AD26+AE26)</f>
        <v>0</v>
      </c>
      <c r="I26" s="50">
        <f aca="true" t="shared" si="10" ref="I26:I35">+G26+(Q26+R26+S26+T26)-(AD26+AE26+AF26+AG26)</f>
        <v>0</v>
      </c>
      <c r="J26" s="51"/>
      <c r="K26" s="126">
        <v>30</v>
      </c>
      <c r="L26" s="126">
        <v>19</v>
      </c>
      <c r="M26" s="126"/>
      <c r="N26" s="126"/>
      <c r="O26" s="126"/>
      <c r="P26" s="126"/>
      <c r="Q26" s="126"/>
      <c r="R26" s="126"/>
      <c r="S26" s="126"/>
      <c r="T26" s="127"/>
      <c r="U26" s="126"/>
      <c r="V26" s="52"/>
      <c r="W26" s="17">
        <f t="shared" si="7"/>
        <v>49</v>
      </c>
      <c r="X26" s="126">
        <v>3</v>
      </c>
      <c r="Y26" s="126">
        <v>2</v>
      </c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7">
        <f t="shared" si="4"/>
        <v>5</v>
      </c>
    </row>
    <row r="27" spans="1:36" ht="15" thickBot="1">
      <c r="A27" s="110" t="s">
        <v>79</v>
      </c>
      <c r="B27" s="103" t="s">
        <v>81</v>
      </c>
      <c r="C27" s="63"/>
      <c r="D27" s="63"/>
      <c r="E27" s="17">
        <v>2563</v>
      </c>
      <c r="F27" s="49">
        <f t="shared" si="9"/>
        <v>2570</v>
      </c>
      <c r="G27" s="17"/>
      <c r="H27" s="61">
        <f aca="true" t="shared" si="11" ref="H27:H35">+G27+(Q27+R27)-(AD27+AE27)</f>
        <v>0</v>
      </c>
      <c r="I27" s="50">
        <f t="shared" si="10"/>
        <v>0</v>
      </c>
      <c r="J27" s="51"/>
      <c r="K27" s="126">
        <v>15</v>
      </c>
      <c r="L27" s="126">
        <v>15</v>
      </c>
      <c r="M27" s="126"/>
      <c r="N27" s="126"/>
      <c r="O27" s="126"/>
      <c r="P27" s="126"/>
      <c r="Q27" s="126"/>
      <c r="R27" s="126"/>
      <c r="S27" s="126"/>
      <c r="T27" s="127"/>
      <c r="U27" s="126"/>
      <c r="V27" s="52"/>
      <c r="W27" s="17">
        <f t="shared" si="7"/>
        <v>30</v>
      </c>
      <c r="X27" s="126">
        <v>11</v>
      </c>
      <c r="Y27" s="126">
        <v>12</v>
      </c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7">
        <f t="shared" si="4"/>
        <v>23</v>
      </c>
    </row>
    <row r="28" spans="1:36" ht="15" thickBot="1">
      <c r="A28" s="110" t="s">
        <v>79</v>
      </c>
      <c r="B28" s="103" t="s">
        <v>82</v>
      </c>
      <c r="C28" s="63"/>
      <c r="D28" s="63"/>
      <c r="E28" s="17">
        <v>5989</v>
      </c>
      <c r="F28" s="49">
        <f t="shared" si="9"/>
        <v>6071</v>
      </c>
      <c r="G28" s="17"/>
      <c r="H28" s="61">
        <f t="shared" si="11"/>
        <v>0</v>
      </c>
      <c r="I28" s="50">
        <f t="shared" si="10"/>
        <v>0</v>
      </c>
      <c r="J28" s="51"/>
      <c r="K28" s="126">
        <v>47</v>
      </c>
      <c r="L28" s="126">
        <v>53</v>
      </c>
      <c r="M28" s="126"/>
      <c r="N28" s="126"/>
      <c r="O28" s="126"/>
      <c r="P28" s="126"/>
      <c r="Q28" s="126"/>
      <c r="R28" s="126"/>
      <c r="S28" s="126"/>
      <c r="T28" s="127"/>
      <c r="U28" s="126"/>
      <c r="V28" s="52"/>
      <c r="W28" s="17">
        <f t="shared" si="7"/>
        <v>100</v>
      </c>
      <c r="X28" s="126">
        <v>15</v>
      </c>
      <c r="Y28" s="126">
        <v>3</v>
      </c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7">
        <f t="shared" si="4"/>
        <v>18</v>
      </c>
    </row>
    <row r="29" spans="1:36" ht="15" thickBot="1">
      <c r="A29" s="110" t="s">
        <v>79</v>
      </c>
      <c r="B29" s="103" t="s">
        <v>83</v>
      </c>
      <c r="C29" s="63"/>
      <c r="D29" s="63"/>
      <c r="E29" s="17">
        <v>636</v>
      </c>
      <c r="F29" s="49">
        <f t="shared" si="9"/>
        <v>635</v>
      </c>
      <c r="G29" s="17"/>
      <c r="H29" s="61">
        <f t="shared" si="11"/>
        <v>0</v>
      </c>
      <c r="I29" s="50">
        <f t="shared" si="10"/>
        <v>0</v>
      </c>
      <c r="J29" s="51"/>
      <c r="K29" s="126">
        <v>2</v>
      </c>
      <c r="L29" s="126">
        <v>2</v>
      </c>
      <c r="M29" s="126"/>
      <c r="N29" s="126"/>
      <c r="O29" s="126"/>
      <c r="P29" s="126"/>
      <c r="Q29" s="126"/>
      <c r="R29" s="126"/>
      <c r="S29" s="126"/>
      <c r="T29" s="127"/>
      <c r="U29" s="126"/>
      <c r="V29" s="52"/>
      <c r="W29" s="17">
        <f t="shared" si="7"/>
        <v>4</v>
      </c>
      <c r="X29" s="126">
        <v>1</v>
      </c>
      <c r="Y29" s="126">
        <v>4</v>
      </c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7">
        <f t="shared" si="4"/>
        <v>5</v>
      </c>
    </row>
    <row r="30" spans="1:36" ht="15" thickBot="1">
      <c r="A30" s="110" t="s">
        <v>79</v>
      </c>
      <c r="B30" s="103" t="s">
        <v>84</v>
      </c>
      <c r="C30" s="63"/>
      <c r="D30" s="63"/>
      <c r="E30" s="17">
        <v>4311</v>
      </c>
      <c r="F30" s="49">
        <f t="shared" si="9"/>
        <v>4352</v>
      </c>
      <c r="G30" s="17"/>
      <c r="H30" s="61">
        <f t="shared" si="11"/>
        <v>0</v>
      </c>
      <c r="I30" s="50">
        <f t="shared" si="10"/>
        <v>0</v>
      </c>
      <c r="J30" s="51"/>
      <c r="K30" s="126">
        <v>22</v>
      </c>
      <c r="L30" s="126">
        <v>50</v>
      </c>
      <c r="M30" s="126"/>
      <c r="N30" s="126"/>
      <c r="O30" s="126"/>
      <c r="P30" s="126"/>
      <c r="Q30" s="126"/>
      <c r="R30" s="126"/>
      <c r="S30" s="126"/>
      <c r="T30" s="127"/>
      <c r="U30" s="126"/>
      <c r="V30" s="52"/>
      <c r="W30" s="17">
        <f t="shared" si="7"/>
        <v>72</v>
      </c>
      <c r="X30" s="126"/>
      <c r="Y30" s="126">
        <v>31</v>
      </c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7">
        <f t="shared" si="4"/>
        <v>31</v>
      </c>
    </row>
    <row r="31" spans="1:36" ht="15" thickBot="1">
      <c r="A31" s="110" t="s">
        <v>79</v>
      </c>
      <c r="B31" s="103" t="s">
        <v>85</v>
      </c>
      <c r="C31" s="63"/>
      <c r="D31" s="63"/>
      <c r="E31" s="17">
        <v>233</v>
      </c>
      <c r="F31" s="49">
        <f t="shared" si="9"/>
        <v>234</v>
      </c>
      <c r="G31" s="17"/>
      <c r="H31" s="61">
        <f t="shared" si="11"/>
        <v>0</v>
      </c>
      <c r="I31" s="50">
        <f t="shared" si="10"/>
        <v>0</v>
      </c>
      <c r="J31" s="51"/>
      <c r="K31" s="126"/>
      <c r="L31" s="126">
        <v>1</v>
      </c>
      <c r="M31" s="126"/>
      <c r="N31" s="126"/>
      <c r="O31" s="126"/>
      <c r="P31" s="126"/>
      <c r="Q31" s="126"/>
      <c r="R31" s="126"/>
      <c r="S31" s="126"/>
      <c r="T31" s="127"/>
      <c r="U31" s="126"/>
      <c r="V31" s="52"/>
      <c r="W31" s="17">
        <f t="shared" si="7"/>
        <v>1</v>
      </c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7">
        <f t="shared" si="4"/>
        <v>0</v>
      </c>
    </row>
    <row r="32" spans="1:36" ht="15" thickBot="1">
      <c r="A32" s="110" t="s">
        <v>79</v>
      </c>
      <c r="B32" s="103" t="s">
        <v>86</v>
      </c>
      <c r="C32" s="63"/>
      <c r="D32" s="63"/>
      <c r="E32" s="17">
        <v>267</v>
      </c>
      <c r="F32" s="49">
        <f t="shared" si="9"/>
        <v>273</v>
      </c>
      <c r="G32" s="17"/>
      <c r="H32" s="61">
        <f t="shared" si="11"/>
        <v>0</v>
      </c>
      <c r="I32" s="50">
        <f t="shared" si="10"/>
        <v>0</v>
      </c>
      <c r="J32" s="51"/>
      <c r="K32" s="126">
        <v>4</v>
      </c>
      <c r="L32" s="126">
        <v>3</v>
      </c>
      <c r="M32" s="126"/>
      <c r="N32" s="126"/>
      <c r="O32" s="126"/>
      <c r="P32" s="126"/>
      <c r="Q32" s="126"/>
      <c r="R32" s="126"/>
      <c r="S32" s="126"/>
      <c r="T32" s="127"/>
      <c r="U32" s="126"/>
      <c r="V32" s="52"/>
      <c r="W32" s="17">
        <f t="shared" si="7"/>
        <v>7</v>
      </c>
      <c r="X32" s="126">
        <v>1</v>
      </c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7">
        <f t="shared" si="4"/>
        <v>1</v>
      </c>
    </row>
    <row r="33" spans="1:36" ht="15" thickBot="1">
      <c r="A33" s="110" t="s">
        <v>79</v>
      </c>
      <c r="B33" s="103" t="s">
        <v>87</v>
      </c>
      <c r="C33" s="63"/>
      <c r="D33" s="63"/>
      <c r="E33" s="17">
        <v>615</v>
      </c>
      <c r="F33" s="49">
        <f t="shared" si="9"/>
        <v>627</v>
      </c>
      <c r="G33" s="17"/>
      <c r="H33" s="61">
        <f t="shared" si="11"/>
        <v>0</v>
      </c>
      <c r="I33" s="50">
        <f t="shared" si="10"/>
        <v>0</v>
      </c>
      <c r="J33" s="51"/>
      <c r="K33" s="126">
        <v>8</v>
      </c>
      <c r="L33" s="126">
        <v>4</v>
      </c>
      <c r="M33" s="126"/>
      <c r="N33" s="126"/>
      <c r="O33" s="126"/>
      <c r="P33" s="126"/>
      <c r="Q33" s="126"/>
      <c r="R33" s="126"/>
      <c r="S33" s="126"/>
      <c r="T33" s="127"/>
      <c r="U33" s="126"/>
      <c r="V33" s="52"/>
      <c r="W33" s="17">
        <f t="shared" si="7"/>
        <v>12</v>
      </c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7">
        <f t="shared" si="4"/>
        <v>0</v>
      </c>
    </row>
    <row r="34" spans="1:36" ht="15" thickBot="1">
      <c r="A34" s="110" t="s">
        <v>79</v>
      </c>
      <c r="B34" s="103" t="s">
        <v>88</v>
      </c>
      <c r="C34" s="63"/>
      <c r="D34" s="63"/>
      <c r="E34" s="17">
        <v>89</v>
      </c>
      <c r="F34" s="49">
        <f t="shared" si="9"/>
        <v>90</v>
      </c>
      <c r="G34" s="17"/>
      <c r="H34" s="61">
        <f t="shared" si="11"/>
        <v>0</v>
      </c>
      <c r="I34" s="50">
        <f t="shared" si="10"/>
        <v>0</v>
      </c>
      <c r="J34" s="51"/>
      <c r="K34" s="126"/>
      <c r="L34" s="126">
        <v>1</v>
      </c>
      <c r="M34" s="126"/>
      <c r="N34" s="126"/>
      <c r="O34" s="126"/>
      <c r="P34" s="126"/>
      <c r="Q34" s="126"/>
      <c r="R34" s="126"/>
      <c r="S34" s="126"/>
      <c r="T34" s="127"/>
      <c r="U34" s="126"/>
      <c r="V34" s="52"/>
      <c r="W34" s="17">
        <f t="shared" si="7"/>
        <v>1</v>
      </c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7">
        <f t="shared" si="4"/>
        <v>0</v>
      </c>
    </row>
    <row r="35" spans="1:36" ht="15" thickBot="1">
      <c r="A35" s="110" t="s">
        <v>79</v>
      </c>
      <c r="B35" s="103" t="s">
        <v>89</v>
      </c>
      <c r="C35" s="63"/>
      <c r="D35" s="63"/>
      <c r="E35" s="17">
        <v>200</v>
      </c>
      <c r="F35" s="49">
        <f t="shared" si="9"/>
        <v>203</v>
      </c>
      <c r="G35" s="17"/>
      <c r="H35" s="61">
        <f t="shared" si="11"/>
        <v>0</v>
      </c>
      <c r="I35" s="50">
        <f t="shared" si="10"/>
        <v>0</v>
      </c>
      <c r="J35" s="51"/>
      <c r="K35" s="121">
        <v>2</v>
      </c>
      <c r="L35" s="121">
        <v>1</v>
      </c>
      <c r="M35" s="121"/>
      <c r="N35" s="121"/>
      <c r="O35" s="126"/>
      <c r="P35" s="126"/>
      <c r="Q35" s="126"/>
      <c r="R35" s="126"/>
      <c r="S35" s="126"/>
      <c r="T35" s="127"/>
      <c r="U35" s="126"/>
      <c r="V35" s="52"/>
      <c r="W35" s="17">
        <f t="shared" si="7"/>
        <v>3</v>
      </c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7">
        <f t="shared" si="4"/>
        <v>0</v>
      </c>
    </row>
    <row r="36" spans="1:39" ht="15" thickBot="1">
      <c r="A36" s="196" t="s">
        <v>201</v>
      </c>
      <c r="B36" s="197"/>
      <c r="C36" s="45">
        <f>+D36/Metas!N28</f>
        <v>0.9364351674026332</v>
      </c>
      <c r="D36" s="19">
        <f>+F36/AK36</f>
        <v>0.5618611004415799</v>
      </c>
      <c r="E36" s="14">
        <f aca="true" t="shared" si="12" ref="E36:V36">SUM(E26:E35)</f>
        <v>17827</v>
      </c>
      <c r="F36" s="14">
        <f t="shared" si="12"/>
        <v>18023</v>
      </c>
      <c r="G36" s="14">
        <f t="shared" si="12"/>
        <v>0</v>
      </c>
      <c r="H36" s="14">
        <f t="shared" si="12"/>
        <v>0</v>
      </c>
      <c r="I36" s="14">
        <f>SUM(I26:I35)</f>
        <v>0</v>
      </c>
      <c r="J36" s="14">
        <f t="shared" si="12"/>
        <v>0</v>
      </c>
      <c r="K36" s="14">
        <f t="shared" si="12"/>
        <v>130</v>
      </c>
      <c r="L36" s="14">
        <f t="shared" si="12"/>
        <v>149</v>
      </c>
      <c r="M36" s="14">
        <f t="shared" si="12"/>
        <v>0</v>
      </c>
      <c r="N36" s="14">
        <f t="shared" si="12"/>
        <v>0</v>
      </c>
      <c r="O36" s="14">
        <f t="shared" si="12"/>
        <v>0</v>
      </c>
      <c r="P36" s="14">
        <f t="shared" si="12"/>
        <v>0</v>
      </c>
      <c r="Q36" s="14">
        <f t="shared" si="12"/>
        <v>0</v>
      </c>
      <c r="R36" s="14">
        <f t="shared" si="12"/>
        <v>0</v>
      </c>
      <c r="S36" s="14">
        <f t="shared" si="12"/>
        <v>0</v>
      </c>
      <c r="T36" s="14">
        <f t="shared" si="12"/>
        <v>0</v>
      </c>
      <c r="U36" s="14">
        <f t="shared" si="12"/>
        <v>0</v>
      </c>
      <c r="V36" s="14">
        <f t="shared" si="12"/>
        <v>0</v>
      </c>
      <c r="W36" s="14">
        <f t="shared" si="7"/>
        <v>279</v>
      </c>
      <c r="X36" s="14">
        <f aca="true" t="shared" si="13" ref="X36:AI36">SUM(X26:X35)</f>
        <v>31</v>
      </c>
      <c r="Y36" s="14">
        <f t="shared" si="13"/>
        <v>52</v>
      </c>
      <c r="Z36" s="14">
        <f t="shared" si="13"/>
        <v>0</v>
      </c>
      <c r="AA36" s="14">
        <f t="shared" si="13"/>
        <v>0</v>
      </c>
      <c r="AB36" s="14">
        <f t="shared" si="13"/>
        <v>0</v>
      </c>
      <c r="AC36" s="14">
        <f t="shared" si="13"/>
        <v>0</v>
      </c>
      <c r="AD36" s="14">
        <f t="shared" si="13"/>
        <v>0</v>
      </c>
      <c r="AE36" s="14">
        <f t="shared" si="13"/>
        <v>0</v>
      </c>
      <c r="AF36" s="14">
        <f t="shared" si="13"/>
        <v>0</v>
      </c>
      <c r="AG36" s="14">
        <f t="shared" si="13"/>
        <v>0</v>
      </c>
      <c r="AH36" s="14">
        <f t="shared" si="13"/>
        <v>0</v>
      </c>
      <c r="AI36" s="14">
        <f t="shared" si="13"/>
        <v>0</v>
      </c>
      <c r="AJ36" s="14">
        <f t="shared" si="4"/>
        <v>83</v>
      </c>
      <c r="AK36" s="14">
        <f>+AL36+AM36</f>
        <v>32077.323</v>
      </c>
      <c r="AL36" s="14">
        <f>119860*0.157</f>
        <v>18818.02</v>
      </c>
      <c r="AM36" s="14">
        <f>20621*0.643</f>
        <v>13259.303</v>
      </c>
    </row>
    <row r="37" spans="1:36" ht="15" thickBot="1">
      <c r="A37" s="110" t="s">
        <v>100</v>
      </c>
      <c r="B37" s="103" t="s">
        <v>90</v>
      </c>
      <c r="C37" s="63"/>
      <c r="D37" s="63"/>
      <c r="E37" s="17">
        <v>154</v>
      </c>
      <c r="F37" s="49">
        <f aca="true" t="shared" si="14" ref="F37:F46">+E37+(K37+L37+M37)-(X37+Y37+Z37)</f>
        <v>153</v>
      </c>
      <c r="G37" s="17"/>
      <c r="H37" s="61">
        <f aca="true" t="shared" si="15" ref="H37:H46">+G37+(Q37+R37)-(AD37+AE37)</f>
        <v>0</v>
      </c>
      <c r="I37" s="50">
        <f aca="true" t="shared" si="16" ref="I37:I46">+G37+(Q37+R37+S37+T37)-(AD37+AE37+AF37+AG37)</f>
        <v>0</v>
      </c>
      <c r="J37" s="51"/>
      <c r="K37" s="52"/>
      <c r="L37" s="52"/>
      <c r="M37" s="52"/>
      <c r="N37" s="52"/>
      <c r="O37" s="52"/>
      <c r="P37" s="52"/>
      <c r="Q37" s="52"/>
      <c r="R37" s="52"/>
      <c r="S37" s="52"/>
      <c r="T37" s="53"/>
      <c r="U37" s="52"/>
      <c r="V37" s="52"/>
      <c r="W37" s="17">
        <f t="shared" si="7"/>
        <v>0</v>
      </c>
      <c r="X37" s="126"/>
      <c r="Y37" s="126">
        <v>1</v>
      </c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7">
        <f t="shared" si="4"/>
        <v>1</v>
      </c>
    </row>
    <row r="38" spans="1:36" ht="15" thickBot="1">
      <c r="A38" s="110" t="s">
        <v>100</v>
      </c>
      <c r="B38" s="103" t="s">
        <v>91</v>
      </c>
      <c r="C38" s="63"/>
      <c r="D38" s="63"/>
      <c r="E38" s="17">
        <v>87</v>
      </c>
      <c r="F38" s="49">
        <f t="shared" si="14"/>
        <v>87</v>
      </c>
      <c r="G38" s="17"/>
      <c r="H38" s="61">
        <f t="shared" si="15"/>
        <v>0</v>
      </c>
      <c r="I38" s="50">
        <f t="shared" si="16"/>
        <v>0</v>
      </c>
      <c r="J38" s="51"/>
      <c r="K38" s="52"/>
      <c r="L38" s="52"/>
      <c r="M38" s="52"/>
      <c r="N38" s="52"/>
      <c r="O38" s="52"/>
      <c r="P38" s="52"/>
      <c r="Q38" s="52"/>
      <c r="R38" s="52"/>
      <c r="S38" s="52"/>
      <c r="T38" s="53"/>
      <c r="U38" s="52"/>
      <c r="V38" s="52"/>
      <c r="W38" s="17">
        <f t="shared" si="7"/>
        <v>0</v>
      </c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7">
        <f t="shared" si="4"/>
        <v>0</v>
      </c>
    </row>
    <row r="39" spans="1:36" ht="15" thickBot="1">
      <c r="A39" s="110" t="s">
        <v>100</v>
      </c>
      <c r="B39" s="103" t="s">
        <v>92</v>
      </c>
      <c r="C39" s="63"/>
      <c r="D39" s="63"/>
      <c r="E39" s="17">
        <v>187</v>
      </c>
      <c r="F39" s="49">
        <f t="shared" si="14"/>
        <v>187</v>
      </c>
      <c r="G39" s="17"/>
      <c r="H39" s="61">
        <f t="shared" si="15"/>
        <v>0</v>
      </c>
      <c r="I39" s="50">
        <f t="shared" si="16"/>
        <v>0</v>
      </c>
      <c r="J39" s="51"/>
      <c r="K39" s="52"/>
      <c r="L39" s="52"/>
      <c r="M39" s="52"/>
      <c r="N39" s="52"/>
      <c r="O39" s="52"/>
      <c r="P39" s="52"/>
      <c r="Q39" s="52"/>
      <c r="R39" s="52"/>
      <c r="S39" s="52"/>
      <c r="T39" s="53"/>
      <c r="U39" s="52"/>
      <c r="V39" s="52"/>
      <c r="W39" s="17">
        <f t="shared" si="7"/>
        <v>0</v>
      </c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7">
        <f t="shared" si="4"/>
        <v>0</v>
      </c>
    </row>
    <row r="40" spans="1:36" ht="15" thickBot="1">
      <c r="A40" s="110" t="s">
        <v>100</v>
      </c>
      <c r="B40" s="103" t="s">
        <v>93</v>
      </c>
      <c r="C40" s="63"/>
      <c r="D40" s="63"/>
      <c r="E40" s="17">
        <v>23</v>
      </c>
      <c r="F40" s="49">
        <f t="shared" si="14"/>
        <v>23</v>
      </c>
      <c r="G40" s="17"/>
      <c r="H40" s="61">
        <f t="shared" si="15"/>
        <v>0</v>
      </c>
      <c r="I40" s="50">
        <f t="shared" si="16"/>
        <v>0</v>
      </c>
      <c r="J40" s="51"/>
      <c r="T40" s="53"/>
      <c r="U40" s="52"/>
      <c r="V40" s="52"/>
      <c r="W40" s="17">
        <f t="shared" si="7"/>
        <v>0</v>
      </c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7">
        <f t="shared" si="4"/>
        <v>0</v>
      </c>
    </row>
    <row r="41" spans="1:36" ht="15" thickBot="1">
      <c r="A41" s="110" t="s">
        <v>100</v>
      </c>
      <c r="B41" s="103" t="s">
        <v>94</v>
      </c>
      <c r="C41" s="63"/>
      <c r="D41" s="63"/>
      <c r="E41" s="17">
        <v>242</v>
      </c>
      <c r="F41" s="49">
        <f t="shared" si="14"/>
        <v>243</v>
      </c>
      <c r="G41" s="17"/>
      <c r="H41" s="61">
        <f t="shared" si="15"/>
        <v>0</v>
      </c>
      <c r="I41" s="50">
        <f t="shared" si="16"/>
        <v>0</v>
      </c>
      <c r="J41" s="51"/>
      <c r="K41" s="52">
        <v>1</v>
      </c>
      <c r="L41" s="52"/>
      <c r="M41" s="52"/>
      <c r="N41" s="52"/>
      <c r="O41" s="52"/>
      <c r="P41" s="52"/>
      <c r="Q41" s="52"/>
      <c r="R41" s="52"/>
      <c r="S41" s="52"/>
      <c r="T41" s="53"/>
      <c r="U41" s="52"/>
      <c r="V41" s="52"/>
      <c r="W41" s="17">
        <f t="shared" si="7"/>
        <v>1</v>
      </c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7">
        <f t="shared" si="4"/>
        <v>0</v>
      </c>
    </row>
    <row r="42" spans="1:36" ht="15" thickBot="1">
      <c r="A42" s="110" t="s">
        <v>100</v>
      </c>
      <c r="B42" s="103" t="s">
        <v>95</v>
      </c>
      <c r="C42" s="63"/>
      <c r="D42" s="63"/>
      <c r="E42" s="17">
        <v>131</v>
      </c>
      <c r="F42" s="49">
        <f t="shared" si="14"/>
        <v>133</v>
      </c>
      <c r="G42" s="17"/>
      <c r="H42" s="61">
        <f t="shared" si="15"/>
        <v>0</v>
      </c>
      <c r="I42" s="50">
        <f t="shared" si="16"/>
        <v>0</v>
      </c>
      <c r="J42" s="51"/>
      <c r="K42" s="52">
        <v>2</v>
      </c>
      <c r="L42" s="52"/>
      <c r="M42" s="52"/>
      <c r="N42" s="52"/>
      <c r="O42" s="52"/>
      <c r="P42" s="52"/>
      <c r="Q42" s="52"/>
      <c r="R42" s="52"/>
      <c r="S42" s="52"/>
      <c r="T42" s="53"/>
      <c r="U42" s="52"/>
      <c r="V42" s="52"/>
      <c r="W42" s="17">
        <f t="shared" si="7"/>
        <v>2</v>
      </c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7">
        <f t="shared" si="4"/>
        <v>0</v>
      </c>
    </row>
    <row r="43" spans="1:36" ht="15" thickBot="1">
      <c r="A43" s="110" t="s">
        <v>100</v>
      </c>
      <c r="B43" s="103" t="s">
        <v>96</v>
      </c>
      <c r="C43" s="63"/>
      <c r="D43" s="63"/>
      <c r="E43" s="17">
        <v>108</v>
      </c>
      <c r="F43" s="49">
        <f t="shared" si="14"/>
        <v>108</v>
      </c>
      <c r="G43" s="17"/>
      <c r="H43" s="61">
        <f t="shared" si="15"/>
        <v>0</v>
      </c>
      <c r="I43" s="50">
        <f t="shared" si="16"/>
        <v>0</v>
      </c>
      <c r="J43" s="51"/>
      <c r="K43" s="52"/>
      <c r="L43" s="52"/>
      <c r="M43" s="52"/>
      <c r="N43" s="52"/>
      <c r="O43" s="52"/>
      <c r="P43" s="52"/>
      <c r="Q43" s="52"/>
      <c r="R43" s="52"/>
      <c r="S43" s="52"/>
      <c r="T43" s="53"/>
      <c r="U43" s="52"/>
      <c r="V43" s="52"/>
      <c r="W43" s="17">
        <f t="shared" si="7"/>
        <v>0</v>
      </c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7">
        <f t="shared" si="4"/>
        <v>0</v>
      </c>
    </row>
    <row r="44" spans="1:36" ht="15" thickBot="1">
      <c r="A44" s="110" t="s">
        <v>100</v>
      </c>
      <c r="B44" s="103" t="s">
        <v>97</v>
      </c>
      <c r="C44" s="63"/>
      <c r="D44" s="63"/>
      <c r="E44" s="17">
        <v>56</v>
      </c>
      <c r="F44" s="49">
        <f t="shared" si="14"/>
        <v>56</v>
      </c>
      <c r="G44" s="17"/>
      <c r="H44" s="61">
        <f t="shared" si="15"/>
        <v>0</v>
      </c>
      <c r="I44" s="50">
        <f t="shared" si="16"/>
        <v>0</v>
      </c>
      <c r="J44" s="51"/>
      <c r="K44" s="52"/>
      <c r="L44" s="52"/>
      <c r="M44" s="52"/>
      <c r="N44" s="52"/>
      <c r="O44" s="52"/>
      <c r="P44" s="52"/>
      <c r="Q44" s="52"/>
      <c r="R44" s="52"/>
      <c r="S44" s="52"/>
      <c r="T44" s="53"/>
      <c r="U44" s="52"/>
      <c r="V44" s="52"/>
      <c r="W44" s="17">
        <f t="shared" si="7"/>
        <v>0</v>
      </c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7">
        <f t="shared" si="4"/>
        <v>0</v>
      </c>
    </row>
    <row r="45" spans="1:36" ht="15" thickBot="1">
      <c r="A45" s="110" t="s">
        <v>100</v>
      </c>
      <c r="B45" s="103" t="s">
        <v>98</v>
      </c>
      <c r="C45" s="63"/>
      <c r="D45" s="63"/>
      <c r="E45" s="17">
        <v>283</v>
      </c>
      <c r="F45" s="49">
        <f t="shared" si="14"/>
        <v>283</v>
      </c>
      <c r="G45" s="17"/>
      <c r="H45" s="61">
        <f t="shared" si="15"/>
        <v>0</v>
      </c>
      <c r="I45" s="50">
        <f t="shared" si="16"/>
        <v>0</v>
      </c>
      <c r="J45" s="51"/>
      <c r="K45" s="52"/>
      <c r="L45" s="52"/>
      <c r="M45" s="52"/>
      <c r="N45" s="52"/>
      <c r="O45" s="52"/>
      <c r="P45" s="52"/>
      <c r="Q45" s="52"/>
      <c r="R45" s="52"/>
      <c r="S45" s="52"/>
      <c r="T45" s="53"/>
      <c r="U45" s="52"/>
      <c r="V45" s="52"/>
      <c r="W45" s="17">
        <f t="shared" si="7"/>
        <v>0</v>
      </c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7">
        <f t="shared" si="4"/>
        <v>0</v>
      </c>
    </row>
    <row r="46" spans="1:36" ht="15" thickBot="1">
      <c r="A46" s="110" t="s">
        <v>100</v>
      </c>
      <c r="B46" s="103" t="s">
        <v>99</v>
      </c>
      <c r="C46" s="63"/>
      <c r="D46" s="63"/>
      <c r="E46" s="17">
        <v>61</v>
      </c>
      <c r="F46" s="49">
        <f t="shared" si="14"/>
        <v>62</v>
      </c>
      <c r="G46" s="17"/>
      <c r="H46" s="61">
        <f t="shared" si="15"/>
        <v>0</v>
      </c>
      <c r="I46" s="50">
        <f t="shared" si="16"/>
        <v>0</v>
      </c>
      <c r="J46" s="51"/>
      <c r="K46" s="52"/>
      <c r="L46" s="52">
        <v>1</v>
      </c>
      <c r="M46" s="52"/>
      <c r="N46" s="52"/>
      <c r="O46" s="52"/>
      <c r="P46" s="52"/>
      <c r="Q46" s="52"/>
      <c r="R46" s="52"/>
      <c r="S46" s="52"/>
      <c r="T46" s="53"/>
      <c r="U46" s="52"/>
      <c r="V46" s="52"/>
      <c r="W46" s="17">
        <f t="shared" si="7"/>
        <v>1</v>
      </c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7">
        <f t="shared" si="4"/>
        <v>0</v>
      </c>
    </row>
    <row r="47" spans="1:39" ht="27" customHeight="1" thickBot="1">
      <c r="A47" s="196" t="s">
        <v>202</v>
      </c>
      <c r="B47" s="197"/>
      <c r="C47" s="45">
        <f>+D47/Metas!N37</f>
        <v>0.9746058879949623</v>
      </c>
      <c r="D47" s="19">
        <f>+F47/AK47</f>
        <v>0.6432398860766751</v>
      </c>
      <c r="E47" s="14">
        <f aca="true" t="shared" si="17" ref="E47:K47">SUM(E37:E46)</f>
        <v>1332</v>
      </c>
      <c r="F47" s="14">
        <f t="shared" si="17"/>
        <v>1335</v>
      </c>
      <c r="G47" s="14">
        <f t="shared" si="17"/>
        <v>0</v>
      </c>
      <c r="H47" s="14">
        <f t="shared" si="17"/>
        <v>0</v>
      </c>
      <c r="I47" s="14">
        <f>SUM(I37:I46)</f>
        <v>0</v>
      </c>
      <c r="J47" s="14">
        <f t="shared" si="17"/>
        <v>0</v>
      </c>
      <c r="K47" s="14">
        <f t="shared" si="17"/>
        <v>3</v>
      </c>
      <c r="L47" s="14">
        <f aca="true" t="shared" si="18" ref="L47:V47">SUM(L37:L46)</f>
        <v>1</v>
      </c>
      <c r="M47" s="14">
        <f t="shared" si="18"/>
        <v>0</v>
      </c>
      <c r="N47" s="14">
        <f t="shared" si="18"/>
        <v>0</v>
      </c>
      <c r="O47" s="14">
        <f t="shared" si="18"/>
        <v>0</v>
      </c>
      <c r="P47" s="14">
        <f t="shared" si="18"/>
        <v>0</v>
      </c>
      <c r="Q47" s="14">
        <f>SUM(Q37:Q46)</f>
        <v>0</v>
      </c>
      <c r="R47" s="14">
        <f t="shared" si="18"/>
        <v>0</v>
      </c>
      <c r="S47" s="14">
        <f t="shared" si="18"/>
        <v>0</v>
      </c>
      <c r="T47" s="14">
        <f t="shared" si="18"/>
        <v>0</v>
      </c>
      <c r="U47" s="14">
        <f t="shared" si="18"/>
        <v>0</v>
      </c>
      <c r="V47" s="14">
        <f t="shared" si="18"/>
        <v>0</v>
      </c>
      <c r="W47" s="14">
        <f t="shared" si="7"/>
        <v>4</v>
      </c>
      <c r="X47" s="14">
        <f aca="true" t="shared" si="19" ref="X47:AI47">SUM(X37:X46)</f>
        <v>0</v>
      </c>
      <c r="Y47" s="14">
        <f t="shared" si="19"/>
        <v>1</v>
      </c>
      <c r="Z47" s="14">
        <f t="shared" si="19"/>
        <v>0</v>
      </c>
      <c r="AA47" s="14">
        <f t="shared" si="19"/>
        <v>0</v>
      </c>
      <c r="AB47" s="14">
        <f t="shared" si="19"/>
        <v>0</v>
      </c>
      <c r="AC47" s="14">
        <f t="shared" si="19"/>
        <v>0</v>
      </c>
      <c r="AD47" s="14">
        <f t="shared" si="19"/>
        <v>0</v>
      </c>
      <c r="AE47" s="14">
        <f t="shared" si="19"/>
        <v>0</v>
      </c>
      <c r="AF47" s="14">
        <f t="shared" si="19"/>
        <v>0</v>
      </c>
      <c r="AG47" s="14">
        <f t="shared" si="19"/>
        <v>0</v>
      </c>
      <c r="AH47" s="14">
        <f t="shared" si="19"/>
        <v>0</v>
      </c>
      <c r="AI47" s="14">
        <f t="shared" si="19"/>
        <v>0</v>
      </c>
      <c r="AJ47" s="14">
        <f t="shared" si="4"/>
        <v>1</v>
      </c>
      <c r="AK47" s="14">
        <f>+AL47+AM47</f>
        <v>2075.431</v>
      </c>
      <c r="AL47" s="14">
        <f>7805*0.157</f>
        <v>1225.385</v>
      </c>
      <c r="AM47" s="14">
        <f>1322*0.643</f>
        <v>850.046</v>
      </c>
    </row>
    <row r="48" spans="1:36" ht="15" thickBot="1">
      <c r="A48" s="110" t="s">
        <v>114</v>
      </c>
      <c r="B48" s="103" t="s">
        <v>101</v>
      </c>
      <c r="C48" s="63"/>
      <c r="D48" s="63"/>
      <c r="E48" s="17">
        <v>481</v>
      </c>
      <c r="F48" s="49">
        <f aca="true" t="shared" si="20" ref="F48:F60">+E48+(K48+L48+M48)-(X48+Y48+Z48)</f>
        <v>490</v>
      </c>
      <c r="G48" s="17"/>
      <c r="H48" s="61">
        <f aca="true" t="shared" si="21" ref="H48:H60">+G48+(Q48+R48)-(AD48+AE48)</f>
        <v>0</v>
      </c>
      <c r="I48" s="50">
        <f aca="true" t="shared" si="22" ref="I48:I60">+G48+(Q48+R48+S48+T48)-(AD48+AE48+AF48+AG48)</f>
        <v>0</v>
      </c>
      <c r="J48" s="51"/>
      <c r="K48" s="52">
        <v>6</v>
      </c>
      <c r="L48" s="52">
        <v>4</v>
      </c>
      <c r="M48" s="52"/>
      <c r="N48" s="52"/>
      <c r="O48" s="52"/>
      <c r="P48" s="52"/>
      <c r="Q48" s="52"/>
      <c r="R48" s="52"/>
      <c r="S48" s="52"/>
      <c r="T48" s="53"/>
      <c r="U48" s="52"/>
      <c r="V48" s="52"/>
      <c r="W48" s="17">
        <f t="shared" si="7"/>
        <v>10</v>
      </c>
      <c r="X48" s="126">
        <v>1</v>
      </c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7">
        <f t="shared" si="4"/>
        <v>1</v>
      </c>
    </row>
    <row r="49" spans="1:36" ht="15" thickBot="1">
      <c r="A49" s="110" t="s">
        <v>114</v>
      </c>
      <c r="B49" s="103" t="s">
        <v>102</v>
      </c>
      <c r="C49" s="63"/>
      <c r="D49" s="63"/>
      <c r="E49" s="17">
        <v>154</v>
      </c>
      <c r="F49" s="49">
        <f t="shared" si="20"/>
        <v>153</v>
      </c>
      <c r="G49" s="17"/>
      <c r="H49" s="61">
        <f t="shared" si="21"/>
        <v>0</v>
      </c>
      <c r="I49" s="50">
        <f t="shared" si="22"/>
        <v>0</v>
      </c>
      <c r="J49" s="51"/>
      <c r="K49" s="52"/>
      <c r="L49" s="52"/>
      <c r="M49" s="52"/>
      <c r="N49" s="52"/>
      <c r="O49" s="52"/>
      <c r="P49" s="52"/>
      <c r="Q49" s="52"/>
      <c r="R49" s="52"/>
      <c r="S49" s="52"/>
      <c r="T49" s="53"/>
      <c r="U49" s="52"/>
      <c r="V49" s="52"/>
      <c r="W49" s="17">
        <f t="shared" si="7"/>
        <v>0</v>
      </c>
      <c r="X49" s="126"/>
      <c r="Y49" s="126">
        <v>1</v>
      </c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7">
        <f t="shared" si="4"/>
        <v>1</v>
      </c>
    </row>
    <row r="50" spans="1:36" ht="15" thickBot="1">
      <c r="A50" s="110" t="s">
        <v>114</v>
      </c>
      <c r="B50" s="103" t="s">
        <v>103</v>
      </c>
      <c r="C50" s="63"/>
      <c r="D50" s="63"/>
      <c r="E50" s="17">
        <v>72</v>
      </c>
      <c r="F50" s="49">
        <f t="shared" si="20"/>
        <v>72</v>
      </c>
      <c r="G50" s="17"/>
      <c r="H50" s="61">
        <f>+G50+(Q50+R50)-(AD50+AE50)</f>
        <v>0</v>
      </c>
      <c r="I50" s="50">
        <f t="shared" si="22"/>
        <v>0</v>
      </c>
      <c r="J50" s="51"/>
      <c r="K50" s="52"/>
      <c r="L50" s="52"/>
      <c r="M50" s="52"/>
      <c r="N50" s="52"/>
      <c r="O50" s="52"/>
      <c r="P50" s="52"/>
      <c r="Q50" s="52"/>
      <c r="R50" s="52"/>
      <c r="S50" s="52"/>
      <c r="T50" s="53"/>
      <c r="U50" s="52"/>
      <c r="V50" s="52"/>
      <c r="W50" s="17">
        <f t="shared" si="7"/>
        <v>0</v>
      </c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7">
        <f t="shared" si="4"/>
        <v>0</v>
      </c>
    </row>
    <row r="51" spans="1:36" ht="15" thickBot="1">
      <c r="A51" s="110" t="s">
        <v>114</v>
      </c>
      <c r="B51" s="103" t="s">
        <v>104</v>
      </c>
      <c r="C51" s="63"/>
      <c r="D51" s="63"/>
      <c r="E51" s="17">
        <v>93</v>
      </c>
      <c r="F51" s="49">
        <f t="shared" si="20"/>
        <v>93</v>
      </c>
      <c r="G51" s="17"/>
      <c r="H51" s="61">
        <f t="shared" si="21"/>
        <v>0</v>
      </c>
      <c r="I51" s="50">
        <f t="shared" si="22"/>
        <v>0</v>
      </c>
      <c r="J51" s="51"/>
      <c r="K51" s="52"/>
      <c r="L51" s="52"/>
      <c r="M51" s="52"/>
      <c r="N51" s="52"/>
      <c r="O51" s="52"/>
      <c r="P51" s="52"/>
      <c r="Q51" s="52"/>
      <c r="R51" s="52"/>
      <c r="S51" s="52"/>
      <c r="T51" s="53"/>
      <c r="U51" s="52"/>
      <c r="V51" s="52"/>
      <c r="W51" s="17">
        <f t="shared" si="7"/>
        <v>0</v>
      </c>
      <c r="X51" s="121"/>
      <c r="Y51" s="121"/>
      <c r="Z51" s="121"/>
      <c r="AA51" s="121"/>
      <c r="AB51" s="121"/>
      <c r="AC51" s="121"/>
      <c r="AD51" s="121"/>
      <c r="AE51" s="121"/>
      <c r="AF51" s="121"/>
      <c r="AG51" s="126"/>
      <c r="AH51" s="126"/>
      <c r="AI51" s="126"/>
      <c r="AJ51" s="17">
        <f t="shared" si="4"/>
        <v>0</v>
      </c>
    </row>
    <row r="52" spans="1:36" ht="15" thickBot="1">
      <c r="A52" s="110" t="s">
        <v>114</v>
      </c>
      <c r="B52" s="103" t="s">
        <v>105</v>
      </c>
      <c r="C52" s="63"/>
      <c r="D52" s="63"/>
      <c r="E52" s="17">
        <v>20</v>
      </c>
      <c r="F52" s="49">
        <f t="shared" si="20"/>
        <v>20</v>
      </c>
      <c r="G52" s="17"/>
      <c r="H52" s="61">
        <f t="shared" si="21"/>
        <v>0</v>
      </c>
      <c r="I52" s="50">
        <f t="shared" si="22"/>
        <v>0</v>
      </c>
      <c r="J52" s="51"/>
      <c r="K52" s="52"/>
      <c r="L52" s="52"/>
      <c r="M52" s="52"/>
      <c r="N52" s="52"/>
      <c r="O52" s="52"/>
      <c r="P52" s="52"/>
      <c r="Q52" s="52"/>
      <c r="R52" s="52"/>
      <c r="S52" s="52"/>
      <c r="T52" s="53"/>
      <c r="U52" s="52"/>
      <c r="V52" s="52"/>
      <c r="W52" s="17">
        <f t="shared" si="7"/>
        <v>0</v>
      </c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7">
        <f t="shared" si="4"/>
        <v>0</v>
      </c>
    </row>
    <row r="53" spans="1:36" ht="15" thickBot="1">
      <c r="A53" s="110" t="s">
        <v>114</v>
      </c>
      <c r="B53" s="103" t="s">
        <v>106</v>
      </c>
      <c r="C53" s="63"/>
      <c r="D53" s="63"/>
      <c r="E53" s="17">
        <v>90</v>
      </c>
      <c r="F53" s="49">
        <f t="shared" si="20"/>
        <v>90</v>
      </c>
      <c r="G53" s="17"/>
      <c r="H53" s="61">
        <f t="shared" si="21"/>
        <v>0</v>
      </c>
      <c r="I53" s="50">
        <f t="shared" si="22"/>
        <v>0</v>
      </c>
      <c r="J53" s="51"/>
      <c r="K53" s="52"/>
      <c r="L53" s="52"/>
      <c r="M53" s="52"/>
      <c r="N53" s="52"/>
      <c r="O53" s="52"/>
      <c r="P53" s="52"/>
      <c r="Q53" s="52"/>
      <c r="R53" s="52"/>
      <c r="S53" s="52"/>
      <c r="T53" s="53"/>
      <c r="U53" s="52"/>
      <c r="V53" s="52"/>
      <c r="W53" s="17">
        <f t="shared" si="7"/>
        <v>0</v>
      </c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7">
        <f t="shared" si="4"/>
        <v>0</v>
      </c>
    </row>
    <row r="54" spans="1:36" ht="15" thickBot="1">
      <c r="A54" s="110" t="s">
        <v>114</v>
      </c>
      <c r="B54" s="103" t="s">
        <v>107</v>
      </c>
      <c r="C54" s="63"/>
      <c r="D54" s="63"/>
      <c r="E54" s="17">
        <v>86</v>
      </c>
      <c r="F54" s="49">
        <f t="shared" si="20"/>
        <v>86</v>
      </c>
      <c r="G54" s="17"/>
      <c r="H54" s="61">
        <f t="shared" si="21"/>
        <v>0</v>
      </c>
      <c r="I54" s="50">
        <f t="shared" si="22"/>
        <v>0</v>
      </c>
      <c r="J54" s="51"/>
      <c r="K54" s="52"/>
      <c r="L54" s="52"/>
      <c r="M54" s="52"/>
      <c r="N54" s="52"/>
      <c r="O54" s="52"/>
      <c r="P54" s="52"/>
      <c r="Q54" s="52"/>
      <c r="R54" s="52"/>
      <c r="S54" s="52"/>
      <c r="T54" s="53"/>
      <c r="U54" s="52"/>
      <c r="V54" s="52"/>
      <c r="W54" s="17">
        <f t="shared" si="7"/>
        <v>0</v>
      </c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7">
        <f t="shared" si="4"/>
        <v>0</v>
      </c>
    </row>
    <row r="55" spans="1:36" ht="15" thickBot="1">
      <c r="A55" s="110" t="s">
        <v>114</v>
      </c>
      <c r="B55" s="103" t="s">
        <v>108</v>
      </c>
      <c r="C55" s="63"/>
      <c r="D55" s="63"/>
      <c r="E55" s="17">
        <v>48</v>
      </c>
      <c r="F55" s="49">
        <f t="shared" si="20"/>
        <v>48</v>
      </c>
      <c r="G55" s="17"/>
      <c r="H55" s="61">
        <f t="shared" si="21"/>
        <v>0</v>
      </c>
      <c r="I55" s="50">
        <f t="shared" si="22"/>
        <v>0</v>
      </c>
      <c r="J55" s="51"/>
      <c r="K55" s="52"/>
      <c r="L55" s="52"/>
      <c r="M55" s="52"/>
      <c r="N55" s="52"/>
      <c r="O55" s="52"/>
      <c r="P55" s="52"/>
      <c r="Q55" s="52"/>
      <c r="R55" s="52"/>
      <c r="S55" s="52"/>
      <c r="T55" s="53"/>
      <c r="U55" s="52"/>
      <c r="V55" s="52"/>
      <c r="W55" s="17">
        <f t="shared" si="7"/>
        <v>0</v>
      </c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7">
        <f t="shared" si="4"/>
        <v>0</v>
      </c>
    </row>
    <row r="56" spans="1:36" ht="15" thickBot="1">
      <c r="A56" s="110" t="s">
        <v>114</v>
      </c>
      <c r="B56" s="103" t="s">
        <v>109</v>
      </c>
      <c r="C56" s="63"/>
      <c r="D56" s="63"/>
      <c r="E56" s="17">
        <v>146</v>
      </c>
      <c r="F56" s="49">
        <f t="shared" si="20"/>
        <v>152</v>
      </c>
      <c r="G56" s="17"/>
      <c r="H56" s="61">
        <f t="shared" si="21"/>
        <v>0</v>
      </c>
      <c r="I56" s="50">
        <f t="shared" si="22"/>
        <v>0</v>
      </c>
      <c r="J56" s="51"/>
      <c r="K56" s="52">
        <v>4</v>
      </c>
      <c r="L56" s="52">
        <v>3</v>
      </c>
      <c r="M56" s="52"/>
      <c r="N56" s="52"/>
      <c r="O56" s="52"/>
      <c r="P56" s="52"/>
      <c r="Q56" s="52"/>
      <c r="R56" s="52"/>
      <c r="S56" s="52"/>
      <c r="T56" s="53"/>
      <c r="U56" s="52"/>
      <c r="V56" s="52"/>
      <c r="W56" s="17">
        <f t="shared" si="7"/>
        <v>7</v>
      </c>
      <c r="X56" s="121"/>
      <c r="Y56" s="121">
        <v>1</v>
      </c>
      <c r="Z56" s="121"/>
      <c r="AA56" s="121"/>
      <c r="AB56" s="121"/>
      <c r="AC56" s="121"/>
      <c r="AD56" s="121"/>
      <c r="AE56" s="121"/>
      <c r="AF56" s="121"/>
      <c r="AG56" s="126"/>
      <c r="AH56" s="126"/>
      <c r="AI56" s="126"/>
      <c r="AJ56" s="17">
        <f t="shared" si="4"/>
        <v>1</v>
      </c>
    </row>
    <row r="57" spans="1:36" ht="15" thickBot="1">
      <c r="A57" s="110" t="s">
        <v>114</v>
      </c>
      <c r="B57" s="103" t="s">
        <v>110</v>
      </c>
      <c r="C57" s="63"/>
      <c r="D57" s="63"/>
      <c r="E57" s="17">
        <v>50</v>
      </c>
      <c r="F57" s="49">
        <f t="shared" si="20"/>
        <v>49</v>
      </c>
      <c r="G57" s="17"/>
      <c r="H57" s="61">
        <f t="shared" si="21"/>
        <v>0</v>
      </c>
      <c r="I57" s="50">
        <f t="shared" si="22"/>
        <v>0</v>
      </c>
      <c r="J57" s="51"/>
      <c r="K57" s="52"/>
      <c r="L57" s="52"/>
      <c r="M57" s="52"/>
      <c r="N57" s="52"/>
      <c r="O57" s="52"/>
      <c r="P57" s="52"/>
      <c r="Q57" s="52"/>
      <c r="R57" s="52"/>
      <c r="S57" s="52"/>
      <c r="T57" s="53"/>
      <c r="U57" s="52"/>
      <c r="V57" s="52"/>
      <c r="W57" s="17">
        <f t="shared" si="7"/>
        <v>0</v>
      </c>
      <c r="X57" s="121">
        <v>1</v>
      </c>
      <c r="Y57" s="121"/>
      <c r="Z57" s="121"/>
      <c r="AA57" s="121"/>
      <c r="AB57" s="121"/>
      <c r="AC57" s="121"/>
      <c r="AD57" s="121"/>
      <c r="AE57" s="121"/>
      <c r="AF57" s="121"/>
      <c r="AG57" s="126"/>
      <c r="AH57" s="126"/>
      <c r="AI57" s="126"/>
      <c r="AJ57" s="17">
        <f t="shared" si="4"/>
        <v>1</v>
      </c>
    </row>
    <row r="58" spans="1:36" ht="15" thickBot="1">
      <c r="A58" s="110" t="s">
        <v>114</v>
      </c>
      <c r="B58" s="103" t="s">
        <v>111</v>
      </c>
      <c r="C58" s="63"/>
      <c r="D58" s="63"/>
      <c r="E58" s="17">
        <v>175</v>
      </c>
      <c r="F58" s="49">
        <f t="shared" si="20"/>
        <v>179</v>
      </c>
      <c r="G58" s="17"/>
      <c r="H58" s="61">
        <f t="shared" si="21"/>
        <v>0</v>
      </c>
      <c r="I58" s="50">
        <f t="shared" si="22"/>
        <v>0</v>
      </c>
      <c r="J58" s="51"/>
      <c r="K58" s="52">
        <v>1</v>
      </c>
      <c r="L58" s="52">
        <v>3</v>
      </c>
      <c r="M58" s="52"/>
      <c r="N58" s="52"/>
      <c r="O58" s="52"/>
      <c r="P58" s="52"/>
      <c r="Q58" s="52"/>
      <c r="R58" s="52"/>
      <c r="S58" s="52"/>
      <c r="T58" s="53"/>
      <c r="U58" s="52"/>
      <c r="V58" s="52"/>
      <c r="W58" s="17">
        <f t="shared" si="7"/>
        <v>4</v>
      </c>
      <c r="X58" s="121"/>
      <c r="Y58" s="121"/>
      <c r="Z58" s="121"/>
      <c r="AA58" s="121"/>
      <c r="AB58" s="121"/>
      <c r="AC58" s="121"/>
      <c r="AD58" s="121"/>
      <c r="AE58" s="121"/>
      <c r="AF58" s="121"/>
      <c r="AG58" s="126"/>
      <c r="AH58" s="126"/>
      <c r="AI58" s="126"/>
      <c r="AJ58" s="17">
        <f t="shared" si="4"/>
        <v>0</v>
      </c>
    </row>
    <row r="59" spans="1:36" ht="15" thickBot="1">
      <c r="A59" s="110" t="s">
        <v>114</v>
      </c>
      <c r="B59" s="103" t="s">
        <v>112</v>
      </c>
      <c r="C59" s="63"/>
      <c r="D59" s="63"/>
      <c r="E59" s="17">
        <v>65</v>
      </c>
      <c r="F59" s="49">
        <f t="shared" si="20"/>
        <v>68</v>
      </c>
      <c r="G59" s="17"/>
      <c r="H59" s="61">
        <f t="shared" si="21"/>
        <v>0</v>
      </c>
      <c r="I59" s="50">
        <f t="shared" si="22"/>
        <v>0</v>
      </c>
      <c r="J59" s="51"/>
      <c r="K59" s="76">
        <v>3</v>
      </c>
      <c r="W59" s="17">
        <f t="shared" si="7"/>
        <v>3</v>
      </c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7">
        <f t="shared" si="4"/>
        <v>0</v>
      </c>
    </row>
    <row r="60" spans="1:36" ht="15" thickBot="1">
      <c r="A60" s="110" t="s">
        <v>114</v>
      </c>
      <c r="B60" s="103" t="s">
        <v>113</v>
      </c>
      <c r="C60" s="63"/>
      <c r="D60" s="63"/>
      <c r="E60" s="17">
        <v>56</v>
      </c>
      <c r="F60" s="49">
        <f t="shared" si="20"/>
        <v>56</v>
      </c>
      <c r="G60" s="17"/>
      <c r="H60" s="61">
        <f t="shared" si="21"/>
        <v>0</v>
      </c>
      <c r="I60" s="50">
        <f t="shared" si="22"/>
        <v>0</v>
      </c>
      <c r="J60" s="51"/>
      <c r="K60" s="52"/>
      <c r="L60" s="52"/>
      <c r="M60" s="52"/>
      <c r="N60" s="52"/>
      <c r="O60" s="52"/>
      <c r="P60" s="52"/>
      <c r="Q60" s="52"/>
      <c r="R60" s="52"/>
      <c r="S60" s="52"/>
      <c r="T60" s="53"/>
      <c r="U60" s="52"/>
      <c r="V60" s="52"/>
      <c r="W60" s="17">
        <f t="shared" si="7"/>
        <v>0</v>
      </c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7">
        <f t="shared" si="4"/>
        <v>0</v>
      </c>
    </row>
    <row r="61" spans="1:39" ht="15" thickBot="1">
      <c r="A61" s="196" t="s">
        <v>203</v>
      </c>
      <c r="B61" s="197"/>
      <c r="C61" s="45">
        <f>+D61/Metas!N29</f>
        <v>0.9778367395735706</v>
      </c>
      <c r="D61" s="19">
        <f>+F61/AK61</f>
        <v>0.7040424524929708</v>
      </c>
      <c r="E61" s="14">
        <f aca="true" t="shared" si="23" ref="E61:J61">SUM(E48:E60)</f>
        <v>1536</v>
      </c>
      <c r="F61" s="14">
        <f t="shared" si="23"/>
        <v>1556</v>
      </c>
      <c r="G61" s="14">
        <f t="shared" si="23"/>
        <v>0</v>
      </c>
      <c r="H61" s="14">
        <f t="shared" si="23"/>
        <v>0</v>
      </c>
      <c r="I61" s="14">
        <f>SUM(I48:I60)</f>
        <v>0</v>
      </c>
      <c r="J61" s="14">
        <f t="shared" si="23"/>
        <v>0</v>
      </c>
      <c r="K61" s="14">
        <f aca="true" t="shared" si="24" ref="K61:V61">SUM(K48:K60)</f>
        <v>14</v>
      </c>
      <c r="L61" s="14">
        <f t="shared" si="24"/>
        <v>10</v>
      </c>
      <c r="M61" s="14">
        <f t="shared" si="24"/>
        <v>0</v>
      </c>
      <c r="N61" s="14">
        <f t="shared" si="24"/>
        <v>0</v>
      </c>
      <c r="O61" s="14">
        <f t="shared" si="24"/>
        <v>0</v>
      </c>
      <c r="P61" s="14">
        <f t="shared" si="24"/>
        <v>0</v>
      </c>
      <c r="Q61" s="14">
        <f t="shared" si="24"/>
        <v>0</v>
      </c>
      <c r="R61" s="14">
        <f t="shared" si="24"/>
        <v>0</v>
      </c>
      <c r="S61" s="14">
        <f t="shared" si="24"/>
        <v>0</v>
      </c>
      <c r="T61" s="14">
        <f t="shared" si="24"/>
        <v>0</v>
      </c>
      <c r="U61" s="14">
        <f t="shared" si="24"/>
        <v>0</v>
      </c>
      <c r="V61" s="14">
        <f t="shared" si="24"/>
        <v>0</v>
      </c>
      <c r="W61" s="14">
        <f t="shared" si="7"/>
        <v>24</v>
      </c>
      <c r="X61" s="14">
        <f aca="true" t="shared" si="25" ref="X61:AI61">SUM(X48:X60)</f>
        <v>2</v>
      </c>
      <c r="Y61" s="14">
        <f t="shared" si="25"/>
        <v>2</v>
      </c>
      <c r="Z61" s="14">
        <f t="shared" si="25"/>
        <v>0</v>
      </c>
      <c r="AA61" s="14">
        <f t="shared" si="25"/>
        <v>0</v>
      </c>
      <c r="AB61" s="14">
        <f t="shared" si="25"/>
        <v>0</v>
      </c>
      <c r="AC61" s="14">
        <f t="shared" si="25"/>
        <v>0</v>
      </c>
      <c r="AD61" s="14">
        <f t="shared" si="25"/>
        <v>0</v>
      </c>
      <c r="AE61" s="14">
        <f t="shared" si="25"/>
        <v>0</v>
      </c>
      <c r="AF61" s="14">
        <f t="shared" si="25"/>
        <v>0</v>
      </c>
      <c r="AG61" s="14">
        <f t="shared" si="25"/>
        <v>0</v>
      </c>
      <c r="AH61" s="14">
        <f t="shared" si="25"/>
        <v>0</v>
      </c>
      <c r="AI61" s="14">
        <f t="shared" si="25"/>
        <v>0</v>
      </c>
      <c r="AJ61" s="14">
        <f t="shared" si="4"/>
        <v>4</v>
      </c>
      <c r="AK61" s="14">
        <f>+AL61+AM61</f>
        <v>2210.094</v>
      </c>
      <c r="AL61" s="14">
        <f>8503*0.157</f>
        <v>1334.971</v>
      </c>
      <c r="AM61" s="14">
        <f>1361*0.643</f>
        <v>875.123</v>
      </c>
    </row>
    <row r="62" spans="1:36" ht="15" thickBot="1">
      <c r="A62" s="110" t="s">
        <v>125</v>
      </c>
      <c r="B62" s="103" t="s">
        <v>115</v>
      </c>
      <c r="C62" s="63"/>
      <c r="D62" s="63"/>
      <c r="E62" s="17">
        <v>561</v>
      </c>
      <c r="F62" s="49">
        <f aca="true" t="shared" si="26" ref="F62:F71">+E62+(K62+L62+M62)-(X62+Y62+Z62)</f>
        <v>567</v>
      </c>
      <c r="G62" s="17"/>
      <c r="H62" s="61">
        <f aca="true" t="shared" si="27" ref="H62:H71">+G62+(Q62+R62)-(AD62+AE62)</f>
        <v>0</v>
      </c>
      <c r="I62" s="50">
        <f aca="true" t="shared" si="28" ref="I62:I71">+G62+(Q62+R62+S62+T62)-(AD62+AE62+AF62+AG62)</f>
        <v>0</v>
      </c>
      <c r="J62" s="51"/>
      <c r="K62" s="52">
        <v>3</v>
      </c>
      <c r="L62" s="52">
        <v>3</v>
      </c>
      <c r="M62" s="52"/>
      <c r="N62" s="52"/>
      <c r="O62" s="52"/>
      <c r="P62" s="52"/>
      <c r="Q62" s="52"/>
      <c r="R62" s="52"/>
      <c r="S62" s="52"/>
      <c r="T62" s="53"/>
      <c r="U62" s="52"/>
      <c r="V62" s="52"/>
      <c r="W62" s="17">
        <f t="shared" si="7"/>
        <v>6</v>
      </c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7">
        <f t="shared" si="4"/>
        <v>0</v>
      </c>
    </row>
    <row r="63" spans="1:36" ht="15" thickBot="1">
      <c r="A63" s="110" t="s">
        <v>125</v>
      </c>
      <c r="B63" s="103" t="s">
        <v>116</v>
      </c>
      <c r="C63" s="63"/>
      <c r="D63" s="63"/>
      <c r="E63" s="17">
        <v>324</v>
      </c>
      <c r="F63" s="49">
        <f t="shared" si="26"/>
        <v>327</v>
      </c>
      <c r="G63" s="17"/>
      <c r="H63" s="61">
        <f t="shared" si="27"/>
        <v>0</v>
      </c>
      <c r="I63" s="50">
        <f t="shared" si="28"/>
        <v>0</v>
      </c>
      <c r="J63" s="51"/>
      <c r="K63" s="52">
        <v>2</v>
      </c>
      <c r="L63" s="52">
        <v>1</v>
      </c>
      <c r="M63" s="52"/>
      <c r="N63" s="52"/>
      <c r="O63" s="52"/>
      <c r="P63" s="52"/>
      <c r="Q63" s="52"/>
      <c r="R63" s="52"/>
      <c r="S63" s="52"/>
      <c r="T63" s="53"/>
      <c r="U63" s="52"/>
      <c r="V63" s="52"/>
      <c r="W63" s="17">
        <f t="shared" si="7"/>
        <v>3</v>
      </c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7">
        <f t="shared" si="4"/>
        <v>0</v>
      </c>
    </row>
    <row r="64" spans="1:36" ht="15" thickBot="1">
      <c r="A64" s="110" t="s">
        <v>125</v>
      </c>
      <c r="B64" s="103" t="s">
        <v>117</v>
      </c>
      <c r="C64" s="63"/>
      <c r="D64" s="63"/>
      <c r="E64" s="17">
        <v>70</v>
      </c>
      <c r="F64" s="49">
        <f t="shared" si="26"/>
        <v>73</v>
      </c>
      <c r="G64" s="17"/>
      <c r="H64" s="61">
        <f t="shared" si="27"/>
        <v>0</v>
      </c>
      <c r="I64" s="50">
        <f t="shared" si="28"/>
        <v>0</v>
      </c>
      <c r="J64" s="51"/>
      <c r="K64" s="52">
        <v>1</v>
      </c>
      <c r="L64" s="52">
        <v>2</v>
      </c>
      <c r="M64" s="52"/>
      <c r="N64" s="52"/>
      <c r="O64" s="52"/>
      <c r="P64" s="52"/>
      <c r="Q64" s="52"/>
      <c r="R64" s="52"/>
      <c r="S64" s="52"/>
      <c r="T64" s="53"/>
      <c r="U64" s="52"/>
      <c r="V64" s="52"/>
      <c r="W64" s="17">
        <f t="shared" si="7"/>
        <v>3</v>
      </c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7">
        <f t="shared" si="4"/>
        <v>0</v>
      </c>
    </row>
    <row r="65" spans="1:36" ht="15" thickBot="1">
      <c r="A65" s="110" t="s">
        <v>125</v>
      </c>
      <c r="B65" s="103" t="s">
        <v>118</v>
      </c>
      <c r="C65" s="63"/>
      <c r="D65" s="63"/>
      <c r="E65" s="17">
        <v>167</v>
      </c>
      <c r="F65" s="49">
        <f t="shared" si="26"/>
        <v>165</v>
      </c>
      <c r="G65" s="17"/>
      <c r="H65" s="61">
        <f t="shared" si="27"/>
        <v>0</v>
      </c>
      <c r="I65" s="50">
        <f t="shared" si="28"/>
        <v>0</v>
      </c>
      <c r="J65" s="51"/>
      <c r="K65" s="52"/>
      <c r="L65" s="52"/>
      <c r="M65" s="52"/>
      <c r="N65" s="52"/>
      <c r="O65" s="52"/>
      <c r="P65" s="52"/>
      <c r="Q65" s="52"/>
      <c r="R65" s="52"/>
      <c r="S65" s="52"/>
      <c r="T65" s="53"/>
      <c r="U65" s="52"/>
      <c r="V65" s="52"/>
      <c r="W65" s="17">
        <f t="shared" si="7"/>
        <v>0</v>
      </c>
      <c r="X65" s="126">
        <v>1</v>
      </c>
      <c r="Y65" s="126">
        <v>1</v>
      </c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7">
        <f t="shared" si="4"/>
        <v>2</v>
      </c>
    </row>
    <row r="66" spans="1:36" ht="15" thickBot="1">
      <c r="A66" s="110" t="s">
        <v>125</v>
      </c>
      <c r="B66" s="103" t="s">
        <v>119</v>
      </c>
      <c r="C66" s="63"/>
      <c r="D66" s="63"/>
      <c r="E66" s="17">
        <v>56</v>
      </c>
      <c r="F66" s="49">
        <f t="shared" si="26"/>
        <v>59</v>
      </c>
      <c r="G66" s="17"/>
      <c r="H66" s="61">
        <f t="shared" si="27"/>
        <v>0</v>
      </c>
      <c r="I66" s="50">
        <f t="shared" si="28"/>
        <v>0</v>
      </c>
      <c r="J66" s="51"/>
      <c r="K66" s="76">
        <v>3</v>
      </c>
      <c r="S66" s="52"/>
      <c r="T66" s="53"/>
      <c r="U66" s="52"/>
      <c r="V66" s="52"/>
      <c r="W66" s="17">
        <f t="shared" si="7"/>
        <v>3</v>
      </c>
      <c r="X66" s="121"/>
      <c r="Y66" s="121"/>
      <c r="Z66" s="121"/>
      <c r="AA66" s="121"/>
      <c r="AB66" s="121"/>
      <c r="AC66" s="121"/>
      <c r="AD66" s="121"/>
      <c r="AE66" s="126"/>
      <c r="AF66" s="126"/>
      <c r="AG66" s="126"/>
      <c r="AH66" s="126"/>
      <c r="AI66" s="126"/>
      <c r="AJ66" s="17">
        <f t="shared" si="4"/>
        <v>0</v>
      </c>
    </row>
    <row r="67" spans="1:36" ht="15" thickBot="1">
      <c r="A67" s="110" t="s">
        <v>125</v>
      </c>
      <c r="B67" s="103" t="s">
        <v>120</v>
      </c>
      <c r="C67" s="63"/>
      <c r="D67" s="63"/>
      <c r="E67" s="17">
        <v>107</v>
      </c>
      <c r="F67" s="49">
        <f t="shared" si="26"/>
        <v>110</v>
      </c>
      <c r="G67" s="17"/>
      <c r="H67" s="61">
        <f t="shared" si="27"/>
        <v>0</v>
      </c>
      <c r="I67" s="50">
        <f t="shared" si="28"/>
        <v>0</v>
      </c>
      <c r="J67" s="51"/>
      <c r="K67" s="52"/>
      <c r="L67" s="52">
        <v>3</v>
      </c>
      <c r="M67" s="52"/>
      <c r="N67" s="52"/>
      <c r="O67" s="52"/>
      <c r="P67" s="52"/>
      <c r="Q67" s="52"/>
      <c r="R67" s="52"/>
      <c r="S67" s="52"/>
      <c r="T67" s="53"/>
      <c r="U67" s="52"/>
      <c r="V67" s="52"/>
      <c r="W67" s="17">
        <f t="shared" si="7"/>
        <v>3</v>
      </c>
      <c r="X67" s="121"/>
      <c r="Y67" s="121"/>
      <c r="Z67" s="121"/>
      <c r="AA67" s="121"/>
      <c r="AB67" s="121"/>
      <c r="AC67" s="121"/>
      <c r="AD67" s="121"/>
      <c r="AE67" s="126"/>
      <c r="AF67" s="126"/>
      <c r="AG67" s="126"/>
      <c r="AH67" s="126"/>
      <c r="AI67" s="126"/>
      <c r="AJ67" s="17">
        <f t="shared" si="4"/>
        <v>0</v>
      </c>
    </row>
    <row r="68" spans="1:36" ht="15" thickBot="1">
      <c r="A68" s="110" t="s">
        <v>125</v>
      </c>
      <c r="B68" s="103" t="s">
        <v>121</v>
      </c>
      <c r="C68" s="63"/>
      <c r="D68" s="63"/>
      <c r="E68" s="17">
        <v>18</v>
      </c>
      <c r="F68" s="49">
        <f t="shared" si="26"/>
        <v>18</v>
      </c>
      <c r="G68" s="17"/>
      <c r="H68" s="61">
        <f t="shared" si="27"/>
        <v>0</v>
      </c>
      <c r="I68" s="50">
        <f t="shared" si="28"/>
        <v>0</v>
      </c>
      <c r="J68" s="51"/>
      <c r="K68" s="52"/>
      <c r="S68" s="52"/>
      <c r="T68" s="53"/>
      <c r="U68" s="52"/>
      <c r="V68" s="52"/>
      <c r="W68" s="17">
        <f t="shared" si="7"/>
        <v>0</v>
      </c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7">
        <f t="shared" si="4"/>
        <v>0</v>
      </c>
    </row>
    <row r="69" spans="1:36" ht="15" thickBot="1">
      <c r="A69" s="110" t="s">
        <v>125</v>
      </c>
      <c r="B69" s="103" t="s">
        <v>122</v>
      </c>
      <c r="C69" s="63"/>
      <c r="D69" s="63"/>
      <c r="E69" s="17">
        <v>37</v>
      </c>
      <c r="F69" s="49">
        <f t="shared" si="26"/>
        <v>37</v>
      </c>
      <c r="G69" s="17"/>
      <c r="H69" s="61">
        <f t="shared" si="27"/>
        <v>0</v>
      </c>
      <c r="I69" s="50">
        <f t="shared" si="28"/>
        <v>0</v>
      </c>
      <c r="J69" s="51"/>
      <c r="K69" s="52"/>
      <c r="L69" s="52"/>
      <c r="M69" s="52"/>
      <c r="N69" s="52"/>
      <c r="O69" s="52"/>
      <c r="P69" s="52"/>
      <c r="Q69" s="52"/>
      <c r="R69" s="52"/>
      <c r="S69" s="52"/>
      <c r="T69" s="53"/>
      <c r="U69" s="52"/>
      <c r="V69" s="52"/>
      <c r="W69" s="17">
        <f t="shared" si="7"/>
        <v>0</v>
      </c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7">
        <f t="shared" si="4"/>
        <v>0</v>
      </c>
    </row>
    <row r="70" spans="1:36" ht="15" thickBot="1">
      <c r="A70" s="110" t="s">
        <v>125</v>
      </c>
      <c r="B70" s="103" t="s">
        <v>123</v>
      </c>
      <c r="C70" s="63"/>
      <c r="D70" s="63"/>
      <c r="E70" s="17">
        <v>20</v>
      </c>
      <c r="F70" s="49">
        <f t="shared" si="26"/>
        <v>20</v>
      </c>
      <c r="G70" s="17"/>
      <c r="H70" s="61">
        <f t="shared" si="27"/>
        <v>0</v>
      </c>
      <c r="I70" s="50">
        <f t="shared" si="28"/>
        <v>0</v>
      </c>
      <c r="J70" s="51"/>
      <c r="K70" s="52"/>
      <c r="S70" s="52"/>
      <c r="T70" s="53"/>
      <c r="U70" s="52"/>
      <c r="V70" s="52"/>
      <c r="W70" s="17">
        <f t="shared" si="7"/>
        <v>0</v>
      </c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7">
        <f t="shared" si="4"/>
        <v>0</v>
      </c>
    </row>
    <row r="71" spans="1:36" ht="15" thickBot="1">
      <c r="A71" s="110" t="s">
        <v>125</v>
      </c>
      <c r="B71" s="103" t="s">
        <v>124</v>
      </c>
      <c r="C71" s="63"/>
      <c r="D71" s="63"/>
      <c r="E71" s="17">
        <v>14</v>
      </c>
      <c r="F71" s="49">
        <f t="shared" si="26"/>
        <v>14</v>
      </c>
      <c r="G71" s="17"/>
      <c r="H71" s="61">
        <f t="shared" si="27"/>
        <v>0</v>
      </c>
      <c r="I71" s="50">
        <f t="shared" si="28"/>
        <v>0</v>
      </c>
      <c r="J71" s="51"/>
      <c r="K71" s="52"/>
      <c r="L71" s="52"/>
      <c r="M71" s="52"/>
      <c r="N71" s="52"/>
      <c r="O71" s="52"/>
      <c r="P71" s="52"/>
      <c r="Q71" s="52"/>
      <c r="R71" s="52"/>
      <c r="S71" s="52"/>
      <c r="T71" s="53"/>
      <c r="U71" s="52"/>
      <c r="V71" s="52"/>
      <c r="W71" s="17">
        <f t="shared" si="7"/>
        <v>0</v>
      </c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7">
        <f t="shared" si="4"/>
        <v>0</v>
      </c>
    </row>
    <row r="72" spans="1:39" ht="15" thickBot="1">
      <c r="A72" s="196" t="s">
        <v>23</v>
      </c>
      <c r="B72" s="197"/>
      <c r="C72" s="45">
        <f>+D72/Metas!N26</f>
        <v>1.0022795731240823</v>
      </c>
      <c r="D72" s="19">
        <f>+F72/AK72</f>
        <v>0.7015957011868577</v>
      </c>
      <c r="E72" s="14">
        <f aca="true" t="shared" si="29" ref="E72:J72">SUM(E62:E71)</f>
        <v>1374</v>
      </c>
      <c r="F72" s="14">
        <f t="shared" si="29"/>
        <v>1390</v>
      </c>
      <c r="G72" s="14">
        <f t="shared" si="29"/>
        <v>0</v>
      </c>
      <c r="H72" s="14">
        <f t="shared" si="29"/>
        <v>0</v>
      </c>
      <c r="I72" s="14">
        <f>SUM(I62:I71)</f>
        <v>0</v>
      </c>
      <c r="J72" s="14">
        <f t="shared" si="29"/>
        <v>0</v>
      </c>
      <c r="K72" s="14">
        <f aca="true" t="shared" si="30" ref="K72:V72">SUM(K62:K71)</f>
        <v>9</v>
      </c>
      <c r="L72" s="14">
        <f t="shared" si="30"/>
        <v>9</v>
      </c>
      <c r="M72" s="14">
        <f t="shared" si="30"/>
        <v>0</v>
      </c>
      <c r="N72" s="14">
        <f t="shared" si="30"/>
        <v>0</v>
      </c>
      <c r="O72" s="14">
        <f t="shared" si="30"/>
        <v>0</v>
      </c>
      <c r="P72" s="14">
        <f t="shared" si="30"/>
        <v>0</v>
      </c>
      <c r="Q72" s="14">
        <f t="shared" si="30"/>
        <v>0</v>
      </c>
      <c r="R72" s="14">
        <f t="shared" si="30"/>
        <v>0</v>
      </c>
      <c r="S72" s="14">
        <f t="shared" si="30"/>
        <v>0</v>
      </c>
      <c r="T72" s="14">
        <f t="shared" si="30"/>
        <v>0</v>
      </c>
      <c r="U72" s="14">
        <f t="shared" si="30"/>
        <v>0</v>
      </c>
      <c r="V72" s="14">
        <f t="shared" si="30"/>
        <v>0</v>
      </c>
      <c r="W72" s="14">
        <f t="shared" si="7"/>
        <v>18</v>
      </c>
      <c r="X72" s="14">
        <f aca="true" t="shared" si="31" ref="X72:AI72">SUM(X62:X71)</f>
        <v>1</v>
      </c>
      <c r="Y72" s="14">
        <f t="shared" si="31"/>
        <v>1</v>
      </c>
      <c r="Z72" s="14">
        <f t="shared" si="31"/>
        <v>0</v>
      </c>
      <c r="AA72" s="14">
        <f t="shared" si="31"/>
        <v>0</v>
      </c>
      <c r="AB72" s="14">
        <f t="shared" si="31"/>
        <v>0</v>
      </c>
      <c r="AC72" s="14">
        <f t="shared" si="31"/>
        <v>0</v>
      </c>
      <c r="AD72" s="14">
        <f t="shared" si="31"/>
        <v>0</v>
      </c>
      <c r="AE72" s="14">
        <f t="shared" si="31"/>
        <v>0</v>
      </c>
      <c r="AF72" s="14">
        <f t="shared" si="31"/>
        <v>0</v>
      </c>
      <c r="AG72" s="14">
        <f t="shared" si="31"/>
        <v>0</v>
      </c>
      <c r="AH72" s="14">
        <f t="shared" si="31"/>
        <v>0</v>
      </c>
      <c r="AI72" s="14">
        <f t="shared" si="31"/>
        <v>0</v>
      </c>
      <c r="AJ72" s="14">
        <f t="shared" si="4"/>
        <v>2</v>
      </c>
      <c r="AK72" s="14">
        <f>+AL72+AM72</f>
        <v>1981.1979999999999</v>
      </c>
      <c r="AL72" s="14">
        <f>6185*0.157</f>
        <v>971.045</v>
      </c>
      <c r="AM72" s="14">
        <f>1571*0.643</f>
        <v>1010.153</v>
      </c>
    </row>
    <row r="73" spans="1:36" ht="15" thickBot="1">
      <c r="A73" s="110" t="s">
        <v>131</v>
      </c>
      <c r="B73" s="103" t="s">
        <v>126</v>
      </c>
      <c r="C73" s="63"/>
      <c r="D73" s="63"/>
      <c r="E73" s="17">
        <v>416</v>
      </c>
      <c r="F73" s="49">
        <f>+E73+(K73+L73+M73)-(X73+Y73+Z73)</f>
        <v>418</v>
      </c>
      <c r="G73" s="17"/>
      <c r="H73" s="61">
        <f>+G73+(Q73+R73)-(AD73+AE73)</f>
        <v>0</v>
      </c>
      <c r="I73" s="50">
        <f>+G73+(Q73+R73+S73+T73)-(AD73+AE73+AF73+AG73)</f>
        <v>0</v>
      </c>
      <c r="J73" s="51"/>
      <c r="K73" s="52">
        <v>2</v>
      </c>
      <c r="L73" s="52"/>
      <c r="M73" s="52"/>
      <c r="N73" s="52"/>
      <c r="O73" s="52"/>
      <c r="P73" s="52"/>
      <c r="Q73" s="52"/>
      <c r="R73" s="52"/>
      <c r="S73" s="52"/>
      <c r="T73" s="53"/>
      <c r="U73" s="52"/>
      <c r="V73" s="52"/>
      <c r="W73" s="17">
        <f t="shared" si="7"/>
        <v>2</v>
      </c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7">
        <f t="shared" si="4"/>
        <v>0</v>
      </c>
    </row>
    <row r="74" spans="1:36" ht="15" thickBot="1">
      <c r="A74" s="110" t="s">
        <v>131</v>
      </c>
      <c r="B74" s="103" t="s">
        <v>127</v>
      </c>
      <c r="C74" s="63"/>
      <c r="D74" s="63"/>
      <c r="E74" s="17">
        <v>120</v>
      </c>
      <c r="F74" s="49">
        <f>+E74+(K74+L74+M74)-(X74+Y74+Z74)</f>
        <v>121</v>
      </c>
      <c r="G74" s="17"/>
      <c r="H74" s="61">
        <f>+G74+(Q74+R74)-(AD74+AE74)</f>
        <v>0</v>
      </c>
      <c r="I74" s="50">
        <f>+G74+(Q74+R74+S74+T74)-(AD74+AE74+AF74+AG74)</f>
        <v>0</v>
      </c>
      <c r="J74" s="51"/>
      <c r="K74" s="52">
        <v>1</v>
      </c>
      <c r="L74" s="52"/>
      <c r="M74" s="52"/>
      <c r="N74" s="52"/>
      <c r="O74" s="52"/>
      <c r="P74" s="52"/>
      <c r="Q74" s="52"/>
      <c r="R74" s="52"/>
      <c r="S74" s="52"/>
      <c r="T74" s="53"/>
      <c r="U74" s="52"/>
      <c r="V74" s="52"/>
      <c r="W74" s="17">
        <f t="shared" si="7"/>
        <v>1</v>
      </c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7">
        <f t="shared" si="4"/>
        <v>0</v>
      </c>
    </row>
    <row r="75" spans="1:36" ht="15" thickBot="1">
      <c r="A75" s="110" t="s">
        <v>131</v>
      </c>
      <c r="B75" s="103" t="s">
        <v>128</v>
      </c>
      <c r="C75" s="63"/>
      <c r="D75" s="63"/>
      <c r="E75" s="17">
        <v>230</v>
      </c>
      <c r="F75" s="49">
        <f>+E75+(K75+L75+M75)-(X75+Y75+Z75)</f>
        <v>232</v>
      </c>
      <c r="G75" s="17"/>
      <c r="H75" s="61">
        <f>+G75+(Q75+R75)-(AD75+AE75)</f>
        <v>0</v>
      </c>
      <c r="I75" s="50">
        <f>+G75+(Q75+R75+S75+T75)-(AD75+AE75+AF75+AG75)</f>
        <v>0</v>
      </c>
      <c r="J75" s="51"/>
      <c r="K75" s="52">
        <v>1</v>
      </c>
      <c r="L75" s="52">
        <v>1</v>
      </c>
      <c r="M75" s="52"/>
      <c r="N75" s="52"/>
      <c r="O75" s="52"/>
      <c r="P75" s="52"/>
      <c r="Q75" s="52"/>
      <c r="R75" s="52"/>
      <c r="S75" s="52"/>
      <c r="T75" s="53"/>
      <c r="U75" s="52"/>
      <c r="V75" s="52"/>
      <c r="W75" s="17">
        <f t="shared" si="7"/>
        <v>2</v>
      </c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7">
        <f t="shared" si="4"/>
        <v>0</v>
      </c>
    </row>
    <row r="76" spans="1:36" ht="15" thickBot="1">
      <c r="A76" s="110" t="s">
        <v>131</v>
      </c>
      <c r="B76" s="103" t="s">
        <v>129</v>
      </c>
      <c r="C76" s="63"/>
      <c r="D76" s="63"/>
      <c r="E76" s="17">
        <v>40</v>
      </c>
      <c r="F76" s="49">
        <f>+E76+(K76+L76+M76)-(X76+Y76+Z76)</f>
        <v>40</v>
      </c>
      <c r="G76" s="17"/>
      <c r="H76" s="61">
        <f>+G76+(Q76+R76)-(AD76+AE76)</f>
        <v>0</v>
      </c>
      <c r="I76" s="50">
        <f>+G76+(Q76+R76+S76+T76)-(AD76+AE76+AF76+AG76)</f>
        <v>0</v>
      </c>
      <c r="J76" s="51"/>
      <c r="K76" s="52"/>
      <c r="L76" s="52"/>
      <c r="M76" s="52"/>
      <c r="N76" s="52"/>
      <c r="O76" s="52"/>
      <c r="P76" s="52"/>
      <c r="Q76" s="52"/>
      <c r="R76" s="52"/>
      <c r="S76" s="52"/>
      <c r="T76" s="53"/>
      <c r="U76" s="52"/>
      <c r="V76" s="52"/>
      <c r="W76" s="17">
        <f>SUM(K76:V76)</f>
        <v>0</v>
      </c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7">
        <f aca="true" t="shared" si="32" ref="AJ76:AJ139">SUM(X76:AI76)</f>
        <v>0</v>
      </c>
    </row>
    <row r="77" spans="1:36" ht="15" thickBot="1">
      <c r="A77" s="110" t="s">
        <v>131</v>
      </c>
      <c r="B77" s="103" t="s">
        <v>130</v>
      </c>
      <c r="C77" s="63"/>
      <c r="D77" s="63"/>
      <c r="E77" s="17">
        <v>68</v>
      </c>
      <c r="F77" s="49">
        <f>+E77+(K77+L77+M77)-(X77+Y77+Z77)</f>
        <v>64</v>
      </c>
      <c r="G77" s="17"/>
      <c r="H77" s="61">
        <f>+G77+(Q77+R77)-(AD77+AE77)</f>
        <v>0</v>
      </c>
      <c r="I77" s="50">
        <f>+G77+(Q77+R77+S77+T77)-(AD77+AE77+AF77+AG77)</f>
        <v>0</v>
      </c>
      <c r="J77" s="51"/>
      <c r="K77" s="52"/>
      <c r="L77" s="52"/>
      <c r="M77" s="52"/>
      <c r="N77" s="52"/>
      <c r="O77" s="52"/>
      <c r="P77" s="52"/>
      <c r="Q77" s="52"/>
      <c r="R77" s="52"/>
      <c r="S77" s="52"/>
      <c r="T77" s="53"/>
      <c r="U77" s="52"/>
      <c r="V77" s="52"/>
      <c r="W77" s="17">
        <f>SUM(K77:V77)</f>
        <v>0</v>
      </c>
      <c r="X77" s="126">
        <v>2</v>
      </c>
      <c r="Y77" s="126">
        <v>2</v>
      </c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7">
        <f t="shared" si="32"/>
        <v>4</v>
      </c>
    </row>
    <row r="78" spans="1:39" ht="15" thickBot="1">
      <c r="A78" s="196" t="s">
        <v>204</v>
      </c>
      <c r="B78" s="197"/>
      <c r="C78" s="45">
        <f>+D78/Metas!N31</f>
        <v>1.0140800671263055</v>
      </c>
      <c r="D78" s="19">
        <f>+F78/AK78</f>
        <v>0.7605600503447292</v>
      </c>
      <c r="E78" s="14">
        <f aca="true" t="shared" si="33" ref="E78:K78">SUM(E73:E77)</f>
        <v>874</v>
      </c>
      <c r="F78" s="14">
        <f t="shared" si="33"/>
        <v>875</v>
      </c>
      <c r="G78" s="14">
        <f t="shared" si="33"/>
        <v>0</v>
      </c>
      <c r="H78" s="14">
        <f t="shared" si="33"/>
        <v>0</v>
      </c>
      <c r="I78" s="14">
        <f>SUM(I73:I77)</f>
        <v>0</v>
      </c>
      <c r="J78" s="14">
        <f t="shared" si="33"/>
        <v>0</v>
      </c>
      <c r="K78" s="14">
        <f t="shared" si="33"/>
        <v>4</v>
      </c>
      <c r="L78" s="14">
        <f aca="true" t="shared" si="34" ref="L78:V78">SUM(L73:L77)</f>
        <v>1</v>
      </c>
      <c r="M78" s="14">
        <f t="shared" si="34"/>
        <v>0</v>
      </c>
      <c r="N78" s="14">
        <f t="shared" si="34"/>
        <v>0</v>
      </c>
      <c r="O78" s="14">
        <f t="shared" si="34"/>
        <v>0</v>
      </c>
      <c r="P78" s="14">
        <f t="shared" si="34"/>
        <v>0</v>
      </c>
      <c r="Q78" s="14">
        <f t="shared" si="34"/>
        <v>0</v>
      </c>
      <c r="R78" s="14">
        <f t="shared" si="34"/>
        <v>0</v>
      </c>
      <c r="S78" s="14">
        <f t="shared" si="34"/>
        <v>0</v>
      </c>
      <c r="T78" s="14">
        <f t="shared" si="34"/>
        <v>0</v>
      </c>
      <c r="U78" s="14">
        <f t="shared" si="34"/>
        <v>0</v>
      </c>
      <c r="V78" s="14">
        <f t="shared" si="34"/>
        <v>0</v>
      </c>
      <c r="W78" s="14">
        <f aca="true" t="shared" si="35" ref="W78:W140">SUM(K78:V78)</f>
        <v>5</v>
      </c>
      <c r="X78" s="14">
        <f aca="true" t="shared" si="36" ref="X78:AI78">SUM(X73:X77)</f>
        <v>2</v>
      </c>
      <c r="Y78" s="14">
        <f t="shared" si="36"/>
        <v>2</v>
      </c>
      <c r="Z78" s="14">
        <f t="shared" si="36"/>
        <v>0</v>
      </c>
      <c r="AA78" s="14">
        <f t="shared" si="36"/>
        <v>0</v>
      </c>
      <c r="AB78" s="14">
        <f t="shared" si="36"/>
        <v>0</v>
      </c>
      <c r="AC78" s="14">
        <f t="shared" si="36"/>
        <v>0</v>
      </c>
      <c r="AD78" s="14">
        <f t="shared" si="36"/>
        <v>0</v>
      </c>
      <c r="AE78" s="14">
        <f t="shared" si="36"/>
        <v>0</v>
      </c>
      <c r="AF78" s="14">
        <f t="shared" si="36"/>
        <v>0</v>
      </c>
      <c r="AG78" s="14">
        <f t="shared" si="36"/>
        <v>0</v>
      </c>
      <c r="AH78" s="14">
        <f t="shared" si="36"/>
        <v>0</v>
      </c>
      <c r="AI78" s="14">
        <f t="shared" si="36"/>
        <v>0</v>
      </c>
      <c r="AJ78" s="14">
        <f t="shared" si="32"/>
        <v>4</v>
      </c>
      <c r="AK78" s="14">
        <f>+AL78+AM78</f>
        <v>1150.468</v>
      </c>
      <c r="AL78" s="14">
        <f>3949*0.157</f>
        <v>619.993</v>
      </c>
      <c r="AM78" s="14">
        <f>825*0.643</f>
        <v>530.475</v>
      </c>
    </row>
    <row r="79" spans="1:36" ht="15" thickBot="1">
      <c r="A79" s="110" t="s">
        <v>142</v>
      </c>
      <c r="B79" s="103" t="s">
        <v>132</v>
      </c>
      <c r="C79" s="63"/>
      <c r="D79" s="63"/>
      <c r="E79" s="17">
        <v>824</v>
      </c>
      <c r="F79" s="49">
        <f aca="true" t="shared" si="37" ref="F79:F88">+E79+(K79+L79+M79)-(X79+Y79+Z79)</f>
        <v>833</v>
      </c>
      <c r="G79" s="17"/>
      <c r="H79" s="61">
        <f aca="true" t="shared" si="38" ref="H79:H142">+G79+(Q79+R79)-(AD79+AE79)</f>
        <v>0</v>
      </c>
      <c r="I79" s="50">
        <f aca="true" t="shared" si="39" ref="I79:I88">+G79+(Q79+R79+S79+T79)-(AD79+AE79+AF79+AG79)</f>
        <v>0</v>
      </c>
      <c r="J79" s="51"/>
      <c r="K79" s="52">
        <v>8</v>
      </c>
      <c r="L79" s="52">
        <v>3</v>
      </c>
      <c r="M79" s="52"/>
      <c r="N79" s="52"/>
      <c r="O79" s="52"/>
      <c r="P79" s="52"/>
      <c r="Q79" s="52"/>
      <c r="R79" s="52"/>
      <c r="S79" s="52"/>
      <c r="T79" s="53"/>
      <c r="U79" s="52"/>
      <c r="V79" s="52"/>
      <c r="W79" s="17">
        <f t="shared" si="35"/>
        <v>11</v>
      </c>
      <c r="X79" s="126"/>
      <c r="Y79" s="126">
        <v>2</v>
      </c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7">
        <f t="shared" si="32"/>
        <v>2</v>
      </c>
    </row>
    <row r="80" spans="1:36" ht="15" thickBot="1">
      <c r="A80" s="110" t="s">
        <v>142</v>
      </c>
      <c r="B80" s="103" t="s">
        <v>133</v>
      </c>
      <c r="C80" s="63"/>
      <c r="D80" s="63"/>
      <c r="E80" s="17">
        <v>109</v>
      </c>
      <c r="F80" s="49">
        <f t="shared" si="37"/>
        <v>111</v>
      </c>
      <c r="G80" s="17"/>
      <c r="H80" s="61">
        <f t="shared" si="38"/>
        <v>0</v>
      </c>
      <c r="I80" s="50">
        <f t="shared" si="39"/>
        <v>0</v>
      </c>
      <c r="J80" s="51"/>
      <c r="K80" s="52">
        <v>1</v>
      </c>
      <c r="L80" s="52">
        <v>1</v>
      </c>
      <c r="M80" s="52"/>
      <c r="N80" s="52"/>
      <c r="O80" s="52"/>
      <c r="P80" s="52"/>
      <c r="Q80" s="52"/>
      <c r="R80" s="52"/>
      <c r="S80" s="52"/>
      <c r="T80" s="53"/>
      <c r="U80" s="52"/>
      <c r="V80" s="52"/>
      <c r="W80" s="17">
        <f t="shared" si="35"/>
        <v>2</v>
      </c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7">
        <f t="shared" si="32"/>
        <v>0</v>
      </c>
    </row>
    <row r="81" spans="1:36" ht="15" thickBot="1">
      <c r="A81" s="110" t="s">
        <v>142</v>
      </c>
      <c r="B81" s="103" t="s">
        <v>134</v>
      </c>
      <c r="C81" s="63"/>
      <c r="D81" s="63"/>
      <c r="E81" s="17">
        <v>64</v>
      </c>
      <c r="F81" s="49">
        <f t="shared" si="37"/>
        <v>64</v>
      </c>
      <c r="G81" s="17"/>
      <c r="H81" s="61">
        <f t="shared" si="38"/>
        <v>0</v>
      </c>
      <c r="I81" s="50">
        <f t="shared" si="39"/>
        <v>0</v>
      </c>
      <c r="J81" s="51"/>
      <c r="K81" s="52"/>
      <c r="L81" s="52"/>
      <c r="M81" s="52"/>
      <c r="N81" s="52"/>
      <c r="O81" s="52"/>
      <c r="P81" s="52"/>
      <c r="Q81" s="52"/>
      <c r="R81" s="52"/>
      <c r="S81" s="52"/>
      <c r="T81" s="53"/>
      <c r="U81" s="52"/>
      <c r="V81" s="52"/>
      <c r="W81" s="17">
        <f t="shared" si="35"/>
        <v>0</v>
      </c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7">
        <f t="shared" si="32"/>
        <v>0</v>
      </c>
    </row>
    <row r="82" spans="1:36" ht="15" thickBot="1">
      <c r="A82" s="110" t="s">
        <v>142</v>
      </c>
      <c r="B82" s="103" t="s">
        <v>135</v>
      </c>
      <c r="C82" s="63"/>
      <c r="D82" s="63"/>
      <c r="E82" s="17">
        <v>151</v>
      </c>
      <c r="F82" s="49">
        <f t="shared" si="37"/>
        <v>148</v>
      </c>
      <c r="G82" s="17"/>
      <c r="H82" s="61">
        <f t="shared" si="38"/>
        <v>0</v>
      </c>
      <c r="I82" s="50">
        <f t="shared" si="39"/>
        <v>0</v>
      </c>
      <c r="J82" s="51"/>
      <c r="K82" s="52"/>
      <c r="L82" s="52"/>
      <c r="M82" s="52"/>
      <c r="N82" s="52"/>
      <c r="O82" s="52"/>
      <c r="P82" s="52"/>
      <c r="Q82" s="52"/>
      <c r="R82" s="52"/>
      <c r="S82" s="52"/>
      <c r="T82" s="53"/>
      <c r="U82" s="52"/>
      <c r="V82" s="52"/>
      <c r="W82" s="17">
        <f t="shared" si="35"/>
        <v>0</v>
      </c>
      <c r="X82" s="126">
        <v>2</v>
      </c>
      <c r="Y82" s="126">
        <v>1</v>
      </c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7">
        <f t="shared" si="32"/>
        <v>3</v>
      </c>
    </row>
    <row r="83" spans="1:36" ht="15" thickBot="1">
      <c r="A83" s="110" t="s">
        <v>142</v>
      </c>
      <c r="B83" s="103" t="s">
        <v>136</v>
      </c>
      <c r="C83" s="63"/>
      <c r="D83" s="63"/>
      <c r="E83" s="17">
        <v>100</v>
      </c>
      <c r="F83" s="49">
        <f t="shared" si="37"/>
        <v>102</v>
      </c>
      <c r="G83" s="17"/>
      <c r="H83" s="61">
        <f t="shared" si="38"/>
        <v>0</v>
      </c>
      <c r="I83" s="50">
        <f t="shared" si="39"/>
        <v>0</v>
      </c>
      <c r="J83" s="51"/>
      <c r="K83" s="52">
        <v>2</v>
      </c>
      <c r="L83" s="52"/>
      <c r="M83" s="52"/>
      <c r="N83" s="52"/>
      <c r="O83" s="52"/>
      <c r="P83" s="52"/>
      <c r="Q83" s="52"/>
      <c r="R83" s="52"/>
      <c r="S83" s="52"/>
      <c r="T83" s="53"/>
      <c r="U83" s="52"/>
      <c r="V83" s="52"/>
      <c r="W83" s="17">
        <f t="shared" si="35"/>
        <v>2</v>
      </c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7">
        <f t="shared" si="32"/>
        <v>0</v>
      </c>
    </row>
    <row r="84" spans="1:36" ht="15" thickBot="1">
      <c r="A84" s="110" t="s">
        <v>142</v>
      </c>
      <c r="B84" s="103" t="s">
        <v>137</v>
      </c>
      <c r="C84" s="63"/>
      <c r="D84" s="63"/>
      <c r="E84" s="17">
        <v>94</v>
      </c>
      <c r="F84" s="49">
        <f t="shared" si="37"/>
        <v>93</v>
      </c>
      <c r="G84" s="17"/>
      <c r="H84" s="61">
        <f t="shared" si="38"/>
        <v>0</v>
      </c>
      <c r="I84" s="50">
        <f t="shared" si="39"/>
        <v>0</v>
      </c>
      <c r="J84" s="51"/>
      <c r="K84" s="52">
        <v>1</v>
      </c>
      <c r="L84" s="52"/>
      <c r="M84" s="52"/>
      <c r="N84" s="52"/>
      <c r="O84" s="52"/>
      <c r="P84" s="52"/>
      <c r="Q84" s="52"/>
      <c r="R84" s="52"/>
      <c r="S84" s="52"/>
      <c r="T84" s="53"/>
      <c r="U84" s="52"/>
      <c r="V84" s="52"/>
      <c r="W84" s="17">
        <f t="shared" si="35"/>
        <v>1</v>
      </c>
      <c r="X84" s="126">
        <v>2</v>
      </c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7">
        <f t="shared" si="32"/>
        <v>2</v>
      </c>
    </row>
    <row r="85" spans="1:36" ht="15" thickBot="1">
      <c r="A85" s="110" t="s">
        <v>142</v>
      </c>
      <c r="B85" s="103" t="s">
        <v>138</v>
      </c>
      <c r="C85" s="63"/>
      <c r="D85" s="63"/>
      <c r="E85" s="17">
        <v>95</v>
      </c>
      <c r="F85" s="49">
        <f t="shared" si="37"/>
        <v>96</v>
      </c>
      <c r="G85" s="17"/>
      <c r="H85" s="61">
        <f t="shared" si="38"/>
        <v>0</v>
      </c>
      <c r="I85" s="50">
        <f t="shared" si="39"/>
        <v>0</v>
      </c>
      <c r="J85" s="51"/>
      <c r="K85" s="52"/>
      <c r="L85" s="52">
        <v>1</v>
      </c>
      <c r="M85" s="52"/>
      <c r="N85" s="52"/>
      <c r="O85" s="52"/>
      <c r="P85" s="52"/>
      <c r="Q85" s="52"/>
      <c r="R85" s="52"/>
      <c r="S85" s="52"/>
      <c r="T85" s="53"/>
      <c r="U85" s="52"/>
      <c r="V85" s="52"/>
      <c r="W85" s="17">
        <f t="shared" si="35"/>
        <v>1</v>
      </c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7">
        <f t="shared" si="32"/>
        <v>0</v>
      </c>
    </row>
    <row r="86" spans="1:36" ht="15" thickBot="1">
      <c r="A86" s="110" t="s">
        <v>142</v>
      </c>
      <c r="B86" s="103" t="s">
        <v>139</v>
      </c>
      <c r="C86" s="63"/>
      <c r="D86" s="63"/>
      <c r="E86" s="17">
        <v>110</v>
      </c>
      <c r="F86" s="49">
        <f t="shared" si="37"/>
        <v>108</v>
      </c>
      <c r="G86" s="17"/>
      <c r="H86" s="61">
        <f t="shared" si="38"/>
        <v>0</v>
      </c>
      <c r="I86" s="50">
        <f t="shared" si="39"/>
        <v>0</v>
      </c>
      <c r="J86" s="51"/>
      <c r="K86" s="52"/>
      <c r="L86" s="52"/>
      <c r="M86" s="52"/>
      <c r="N86" s="52"/>
      <c r="O86" s="52"/>
      <c r="P86" s="52"/>
      <c r="Q86" s="52"/>
      <c r="R86" s="52"/>
      <c r="S86" s="52"/>
      <c r="T86" s="53"/>
      <c r="U86" s="52"/>
      <c r="V86" s="52"/>
      <c r="W86" s="17">
        <f t="shared" si="35"/>
        <v>0</v>
      </c>
      <c r="X86" s="126">
        <v>1</v>
      </c>
      <c r="Y86" s="126">
        <v>1</v>
      </c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7">
        <f t="shared" si="32"/>
        <v>2</v>
      </c>
    </row>
    <row r="87" spans="1:36" ht="15" thickBot="1">
      <c r="A87" s="110" t="s">
        <v>142</v>
      </c>
      <c r="B87" s="103" t="s">
        <v>140</v>
      </c>
      <c r="C87" s="63"/>
      <c r="D87" s="63"/>
      <c r="E87" s="17">
        <v>95</v>
      </c>
      <c r="F87" s="49">
        <f t="shared" si="37"/>
        <v>95</v>
      </c>
      <c r="G87" s="17"/>
      <c r="H87" s="61">
        <f t="shared" si="38"/>
        <v>0</v>
      </c>
      <c r="I87" s="50">
        <f t="shared" si="39"/>
        <v>0</v>
      </c>
      <c r="J87" s="51"/>
      <c r="K87" s="52"/>
      <c r="L87" s="52"/>
      <c r="M87" s="52"/>
      <c r="N87" s="52"/>
      <c r="O87" s="52"/>
      <c r="P87" s="52"/>
      <c r="Q87" s="52"/>
      <c r="R87" s="52"/>
      <c r="S87" s="52"/>
      <c r="T87" s="53"/>
      <c r="U87" s="52"/>
      <c r="V87" s="52"/>
      <c r="W87" s="17">
        <f t="shared" si="35"/>
        <v>0</v>
      </c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7">
        <f t="shared" si="32"/>
        <v>0</v>
      </c>
    </row>
    <row r="88" spans="1:36" ht="15" thickBot="1">
      <c r="A88" s="110" t="s">
        <v>142</v>
      </c>
      <c r="B88" s="103" t="s">
        <v>141</v>
      </c>
      <c r="C88" s="63"/>
      <c r="D88" s="63"/>
      <c r="E88" s="17">
        <v>155</v>
      </c>
      <c r="F88" s="49">
        <f t="shared" si="37"/>
        <v>155</v>
      </c>
      <c r="G88" s="17"/>
      <c r="H88" s="61">
        <f t="shared" si="38"/>
        <v>0</v>
      </c>
      <c r="I88" s="50">
        <f t="shared" si="39"/>
        <v>0</v>
      </c>
      <c r="J88" s="51"/>
      <c r="K88" s="52">
        <v>1</v>
      </c>
      <c r="L88" s="52"/>
      <c r="M88" s="52"/>
      <c r="N88" s="52"/>
      <c r="O88" s="52"/>
      <c r="P88" s="52"/>
      <c r="Q88" s="52"/>
      <c r="R88" s="52"/>
      <c r="S88" s="52"/>
      <c r="T88" s="53"/>
      <c r="U88" s="52"/>
      <c r="V88" s="52"/>
      <c r="W88" s="17">
        <f t="shared" si="35"/>
        <v>1</v>
      </c>
      <c r="X88" s="126">
        <v>1</v>
      </c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7">
        <f t="shared" si="32"/>
        <v>1</v>
      </c>
    </row>
    <row r="89" spans="1:39" ht="15" thickBot="1">
      <c r="A89" s="196" t="s">
        <v>205</v>
      </c>
      <c r="B89" s="197"/>
      <c r="C89" s="45">
        <f>+D89/Metas!N36</f>
        <v>1.002308363360937</v>
      </c>
      <c r="D89" s="19">
        <f>+F89/AK89</f>
        <v>0.7517312725207028</v>
      </c>
      <c r="E89" s="14">
        <f aca="true" t="shared" si="40" ref="E89:K89">SUM(E79:E88)</f>
        <v>1797</v>
      </c>
      <c r="F89" s="14">
        <f t="shared" si="40"/>
        <v>1805</v>
      </c>
      <c r="G89" s="14">
        <f t="shared" si="40"/>
        <v>0</v>
      </c>
      <c r="H89" s="14">
        <f t="shared" si="40"/>
        <v>0</v>
      </c>
      <c r="I89" s="14">
        <f>SUM(I79:I88)</f>
        <v>0</v>
      </c>
      <c r="J89" s="14">
        <f t="shared" si="40"/>
        <v>0</v>
      </c>
      <c r="K89" s="14">
        <f t="shared" si="40"/>
        <v>13</v>
      </c>
      <c r="L89" s="14">
        <f aca="true" t="shared" si="41" ref="L89:V89">SUM(L79:L88)</f>
        <v>5</v>
      </c>
      <c r="M89" s="14">
        <f t="shared" si="41"/>
        <v>0</v>
      </c>
      <c r="N89" s="14">
        <f t="shared" si="41"/>
        <v>0</v>
      </c>
      <c r="O89" s="14">
        <f t="shared" si="41"/>
        <v>0</v>
      </c>
      <c r="P89" s="14">
        <f t="shared" si="41"/>
        <v>0</v>
      </c>
      <c r="Q89" s="14">
        <f t="shared" si="41"/>
        <v>0</v>
      </c>
      <c r="R89" s="14">
        <f t="shared" si="41"/>
        <v>0</v>
      </c>
      <c r="S89" s="14">
        <f t="shared" si="41"/>
        <v>0</v>
      </c>
      <c r="T89" s="14">
        <f t="shared" si="41"/>
        <v>0</v>
      </c>
      <c r="U89" s="14">
        <f t="shared" si="41"/>
        <v>0</v>
      </c>
      <c r="V89" s="14">
        <f t="shared" si="41"/>
        <v>0</v>
      </c>
      <c r="W89" s="14">
        <f t="shared" si="35"/>
        <v>18</v>
      </c>
      <c r="X89" s="14">
        <f aca="true" t="shared" si="42" ref="X89:AI89">SUM(X79:X88)</f>
        <v>6</v>
      </c>
      <c r="Y89" s="14">
        <f t="shared" si="42"/>
        <v>4</v>
      </c>
      <c r="Z89" s="14">
        <f t="shared" si="42"/>
        <v>0</v>
      </c>
      <c r="AA89" s="14">
        <f t="shared" si="42"/>
        <v>0</v>
      </c>
      <c r="AB89" s="14">
        <f t="shared" si="42"/>
        <v>0</v>
      </c>
      <c r="AC89" s="14">
        <f t="shared" si="42"/>
        <v>0</v>
      </c>
      <c r="AD89" s="14">
        <f t="shared" si="42"/>
        <v>0</v>
      </c>
      <c r="AE89" s="14">
        <f t="shared" si="42"/>
        <v>0</v>
      </c>
      <c r="AF89" s="14">
        <f t="shared" si="42"/>
        <v>0</v>
      </c>
      <c r="AG89" s="14">
        <f t="shared" si="42"/>
        <v>0</v>
      </c>
      <c r="AH89" s="14">
        <f t="shared" si="42"/>
        <v>0</v>
      </c>
      <c r="AI89" s="14">
        <f t="shared" si="42"/>
        <v>0</v>
      </c>
      <c r="AJ89" s="14">
        <f t="shared" si="32"/>
        <v>10</v>
      </c>
      <c r="AK89" s="14">
        <f>+AL89+AM89</f>
        <v>2401.124</v>
      </c>
      <c r="AL89" s="14">
        <f>8573*0.157</f>
        <v>1345.961</v>
      </c>
      <c r="AM89" s="14">
        <f>1641*0.643</f>
        <v>1055.163</v>
      </c>
    </row>
    <row r="90" spans="1:36" ht="15" thickBot="1">
      <c r="A90" s="110" t="s">
        <v>159</v>
      </c>
      <c r="B90" s="103" t="s">
        <v>143</v>
      </c>
      <c r="C90" s="63"/>
      <c r="D90" s="63"/>
      <c r="E90" s="17">
        <v>646</v>
      </c>
      <c r="F90" s="49">
        <f aca="true" t="shared" si="43" ref="F90:F105">+E90+(K90+L90+M90)-(X90+Y90+Z90)</f>
        <v>647</v>
      </c>
      <c r="G90" s="17"/>
      <c r="H90" s="61">
        <f t="shared" si="38"/>
        <v>0</v>
      </c>
      <c r="I90" s="50">
        <f aca="true" t="shared" si="44" ref="I90:I105">+G90+(Q90+R90+S90+T90)-(AD90+AE90+AF90+AG90)</f>
        <v>0</v>
      </c>
      <c r="J90" s="51"/>
      <c r="K90" s="52"/>
      <c r="L90" s="52">
        <v>4</v>
      </c>
      <c r="M90" s="52"/>
      <c r="N90" s="52"/>
      <c r="O90" s="52"/>
      <c r="P90" s="52"/>
      <c r="Q90" s="52"/>
      <c r="R90" s="52"/>
      <c r="S90" s="52"/>
      <c r="T90" s="53"/>
      <c r="U90" s="52"/>
      <c r="V90" s="52"/>
      <c r="W90" s="17">
        <f t="shared" si="35"/>
        <v>4</v>
      </c>
      <c r="X90" s="126"/>
      <c r="Y90" s="126">
        <v>3</v>
      </c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7">
        <f t="shared" si="32"/>
        <v>3</v>
      </c>
    </row>
    <row r="91" spans="1:36" ht="15" thickBot="1">
      <c r="A91" s="110" t="s">
        <v>159</v>
      </c>
      <c r="B91" s="103" t="s">
        <v>144</v>
      </c>
      <c r="C91" s="63"/>
      <c r="D91" s="63"/>
      <c r="E91" s="17">
        <v>2508</v>
      </c>
      <c r="F91" s="49">
        <f t="shared" si="43"/>
        <v>2537</v>
      </c>
      <c r="G91" s="17"/>
      <c r="H91" s="61">
        <f t="shared" si="38"/>
        <v>0</v>
      </c>
      <c r="I91" s="50">
        <f t="shared" si="44"/>
        <v>0</v>
      </c>
      <c r="J91" s="51"/>
      <c r="K91" s="52">
        <v>17</v>
      </c>
      <c r="L91" s="52">
        <v>15</v>
      </c>
      <c r="M91" s="52"/>
      <c r="N91" s="52"/>
      <c r="O91" s="52"/>
      <c r="P91" s="52"/>
      <c r="Q91" s="52"/>
      <c r="R91" s="52"/>
      <c r="S91" s="52"/>
      <c r="T91" s="53"/>
      <c r="U91" s="52"/>
      <c r="V91" s="52"/>
      <c r="W91" s="17">
        <f t="shared" si="35"/>
        <v>32</v>
      </c>
      <c r="X91" s="126">
        <v>1</v>
      </c>
      <c r="Y91" s="126">
        <v>2</v>
      </c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7">
        <f t="shared" si="32"/>
        <v>3</v>
      </c>
    </row>
    <row r="92" spans="1:36" ht="15" thickBot="1">
      <c r="A92" s="110" t="s">
        <v>159</v>
      </c>
      <c r="B92" s="103" t="s">
        <v>145</v>
      </c>
      <c r="C92" s="63"/>
      <c r="D92" s="63"/>
      <c r="E92" s="17">
        <v>4105</v>
      </c>
      <c r="F92" s="49">
        <f t="shared" si="43"/>
        <v>4148</v>
      </c>
      <c r="G92" s="17"/>
      <c r="H92" s="61">
        <f t="shared" si="38"/>
        <v>0</v>
      </c>
      <c r="I92" s="50">
        <f t="shared" si="44"/>
        <v>0</v>
      </c>
      <c r="J92" s="51"/>
      <c r="K92" s="52">
        <v>32</v>
      </c>
      <c r="L92" s="52">
        <v>19</v>
      </c>
      <c r="M92" s="52"/>
      <c r="N92" s="52"/>
      <c r="O92" s="52"/>
      <c r="P92" s="52"/>
      <c r="Q92" s="52"/>
      <c r="R92" s="52"/>
      <c r="S92" s="52"/>
      <c r="T92" s="53"/>
      <c r="U92" s="52"/>
      <c r="V92" s="52"/>
      <c r="W92" s="17">
        <f t="shared" si="35"/>
        <v>51</v>
      </c>
      <c r="X92" s="126">
        <v>7</v>
      </c>
      <c r="Y92" s="126">
        <v>1</v>
      </c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7">
        <f t="shared" si="32"/>
        <v>8</v>
      </c>
    </row>
    <row r="93" spans="1:36" ht="15" thickBot="1">
      <c r="A93" s="110" t="s">
        <v>159</v>
      </c>
      <c r="B93" s="103" t="s">
        <v>146</v>
      </c>
      <c r="C93" s="63"/>
      <c r="D93" s="63"/>
      <c r="E93" s="17">
        <v>681</v>
      </c>
      <c r="F93" s="49">
        <f t="shared" si="43"/>
        <v>690</v>
      </c>
      <c r="G93" s="17"/>
      <c r="H93" s="61">
        <f t="shared" si="38"/>
        <v>0</v>
      </c>
      <c r="I93" s="50">
        <f t="shared" si="44"/>
        <v>0</v>
      </c>
      <c r="J93" s="51"/>
      <c r="K93" s="52">
        <v>5</v>
      </c>
      <c r="L93" s="52">
        <v>7</v>
      </c>
      <c r="M93" s="52"/>
      <c r="N93" s="52"/>
      <c r="O93" s="52"/>
      <c r="P93" s="52"/>
      <c r="Q93" s="52"/>
      <c r="R93" s="52"/>
      <c r="S93" s="52"/>
      <c r="T93" s="53"/>
      <c r="U93" s="52"/>
      <c r="V93" s="52"/>
      <c r="W93" s="17">
        <f t="shared" si="35"/>
        <v>12</v>
      </c>
      <c r="X93" s="126">
        <v>2</v>
      </c>
      <c r="Y93" s="126">
        <v>1</v>
      </c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7">
        <f t="shared" si="32"/>
        <v>3</v>
      </c>
    </row>
    <row r="94" spans="1:36" ht="15" thickBot="1">
      <c r="A94" s="110" t="s">
        <v>159</v>
      </c>
      <c r="B94" s="103" t="s">
        <v>147</v>
      </c>
      <c r="C94" s="63"/>
      <c r="D94" s="63"/>
      <c r="E94" s="17">
        <v>244</v>
      </c>
      <c r="F94" s="49">
        <f t="shared" si="43"/>
        <v>245</v>
      </c>
      <c r="G94" s="17"/>
      <c r="H94" s="61">
        <f t="shared" si="38"/>
        <v>0</v>
      </c>
      <c r="I94" s="50">
        <f t="shared" si="44"/>
        <v>0</v>
      </c>
      <c r="J94" s="51"/>
      <c r="K94" s="52">
        <v>3</v>
      </c>
      <c r="L94" s="52"/>
      <c r="M94" s="52"/>
      <c r="N94" s="52"/>
      <c r="O94" s="52"/>
      <c r="P94" s="52"/>
      <c r="Q94" s="52"/>
      <c r="R94" s="52"/>
      <c r="S94" s="52"/>
      <c r="T94" s="53"/>
      <c r="U94" s="52"/>
      <c r="V94" s="52"/>
      <c r="W94" s="17">
        <f t="shared" si="35"/>
        <v>3</v>
      </c>
      <c r="X94" s="121">
        <v>2</v>
      </c>
      <c r="Y94" s="121"/>
      <c r="Z94" s="121"/>
      <c r="AA94" s="121"/>
      <c r="AB94" s="121"/>
      <c r="AC94" s="121"/>
      <c r="AD94" s="121"/>
      <c r="AE94" s="121"/>
      <c r="AF94" s="121"/>
      <c r="AG94" s="126"/>
      <c r="AH94" s="126"/>
      <c r="AI94" s="126"/>
      <c r="AJ94" s="17">
        <f t="shared" si="32"/>
        <v>2</v>
      </c>
    </row>
    <row r="95" spans="1:36" ht="15" thickBot="1">
      <c r="A95" s="110" t="s">
        <v>159</v>
      </c>
      <c r="B95" s="103" t="s">
        <v>148</v>
      </c>
      <c r="C95" s="63"/>
      <c r="D95" s="63"/>
      <c r="E95" s="17">
        <v>245</v>
      </c>
      <c r="F95" s="49">
        <f t="shared" si="43"/>
        <v>247</v>
      </c>
      <c r="G95" s="17"/>
      <c r="H95" s="61">
        <f t="shared" si="38"/>
        <v>0</v>
      </c>
      <c r="I95" s="50">
        <f t="shared" si="44"/>
        <v>0</v>
      </c>
      <c r="J95" s="51"/>
      <c r="K95" s="52">
        <v>1</v>
      </c>
      <c r="L95" s="52">
        <v>3</v>
      </c>
      <c r="M95" s="52"/>
      <c r="N95" s="52"/>
      <c r="O95" s="52"/>
      <c r="P95" s="52"/>
      <c r="Q95" s="52"/>
      <c r="R95" s="52"/>
      <c r="S95" s="52"/>
      <c r="T95" s="53"/>
      <c r="U95" s="52"/>
      <c r="V95" s="52"/>
      <c r="W95" s="17">
        <f t="shared" si="35"/>
        <v>4</v>
      </c>
      <c r="X95" s="121">
        <v>1</v>
      </c>
      <c r="Y95" s="121">
        <v>1</v>
      </c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7">
        <f t="shared" si="32"/>
        <v>2</v>
      </c>
    </row>
    <row r="96" spans="1:36" ht="15" thickBot="1">
      <c r="A96" s="110" t="s">
        <v>159</v>
      </c>
      <c r="B96" s="103" t="s">
        <v>149</v>
      </c>
      <c r="C96" s="63"/>
      <c r="D96" s="63"/>
      <c r="E96" s="17">
        <v>165</v>
      </c>
      <c r="F96" s="49">
        <f t="shared" si="43"/>
        <v>163</v>
      </c>
      <c r="G96" s="17"/>
      <c r="H96" s="61">
        <f t="shared" si="38"/>
        <v>0</v>
      </c>
      <c r="I96" s="50">
        <f t="shared" si="44"/>
        <v>0</v>
      </c>
      <c r="J96" s="51"/>
      <c r="K96" s="52"/>
      <c r="L96" s="52"/>
      <c r="M96" s="52"/>
      <c r="N96" s="52"/>
      <c r="O96" s="52"/>
      <c r="P96" s="52"/>
      <c r="Q96" s="52"/>
      <c r="R96" s="52"/>
      <c r="S96" s="52"/>
      <c r="T96" s="53"/>
      <c r="U96" s="52"/>
      <c r="V96" s="52"/>
      <c r="W96" s="17">
        <f t="shared" si="35"/>
        <v>0</v>
      </c>
      <c r="X96" s="126">
        <v>1</v>
      </c>
      <c r="Y96" s="126">
        <v>1</v>
      </c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7">
        <f t="shared" si="32"/>
        <v>2</v>
      </c>
    </row>
    <row r="97" spans="1:36" ht="15" thickBot="1">
      <c r="A97" s="110" t="s">
        <v>159</v>
      </c>
      <c r="B97" s="103" t="s">
        <v>150</v>
      </c>
      <c r="C97" s="63"/>
      <c r="D97" s="63"/>
      <c r="E97" s="17">
        <v>91</v>
      </c>
      <c r="F97" s="49">
        <f t="shared" si="43"/>
        <v>91</v>
      </c>
      <c r="G97" s="17"/>
      <c r="H97" s="61">
        <f t="shared" si="38"/>
        <v>0</v>
      </c>
      <c r="I97" s="50">
        <f t="shared" si="44"/>
        <v>0</v>
      </c>
      <c r="J97" s="51"/>
      <c r="K97" s="52"/>
      <c r="L97" s="52"/>
      <c r="M97" s="52"/>
      <c r="N97" s="52"/>
      <c r="O97" s="52"/>
      <c r="P97" s="52"/>
      <c r="Q97" s="52"/>
      <c r="R97" s="52"/>
      <c r="S97" s="52"/>
      <c r="T97" s="53"/>
      <c r="U97" s="52"/>
      <c r="V97" s="52"/>
      <c r="W97" s="17">
        <f t="shared" si="35"/>
        <v>0</v>
      </c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7">
        <f t="shared" si="32"/>
        <v>0</v>
      </c>
    </row>
    <row r="98" spans="1:36" ht="15" thickBot="1">
      <c r="A98" s="110" t="s">
        <v>159</v>
      </c>
      <c r="B98" s="103" t="s">
        <v>151</v>
      </c>
      <c r="C98" s="63"/>
      <c r="D98" s="63"/>
      <c r="E98" s="17">
        <v>373</v>
      </c>
      <c r="F98" s="49">
        <f t="shared" si="43"/>
        <v>380</v>
      </c>
      <c r="G98" s="17"/>
      <c r="H98" s="61">
        <f t="shared" si="38"/>
        <v>0</v>
      </c>
      <c r="I98" s="50">
        <f t="shared" si="44"/>
        <v>0</v>
      </c>
      <c r="J98" s="51"/>
      <c r="K98" s="52">
        <v>3</v>
      </c>
      <c r="L98" s="52">
        <v>5</v>
      </c>
      <c r="M98" s="52"/>
      <c r="N98" s="52"/>
      <c r="O98" s="52"/>
      <c r="P98" s="52"/>
      <c r="Q98" s="52"/>
      <c r="R98" s="52"/>
      <c r="S98" s="52"/>
      <c r="T98" s="53"/>
      <c r="U98" s="52"/>
      <c r="V98" s="52"/>
      <c r="W98" s="17">
        <f t="shared" si="35"/>
        <v>8</v>
      </c>
      <c r="X98" s="126"/>
      <c r="Y98" s="126">
        <v>1</v>
      </c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7">
        <f t="shared" si="32"/>
        <v>1</v>
      </c>
    </row>
    <row r="99" spans="1:36" ht="15" thickBot="1">
      <c r="A99" s="110" t="s">
        <v>159</v>
      </c>
      <c r="B99" s="103" t="s">
        <v>152</v>
      </c>
      <c r="C99" s="63"/>
      <c r="D99" s="63"/>
      <c r="E99" s="17">
        <v>85</v>
      </c>
      <c r="F99" s="49">
        <f t="shared" si="43"/>
        <v>88</v>
      </c>
      <c r="G99" s="17"/>
      <c r="H99" s="61">
        <f t="shared" si="38"/>
        <v>0</v>
      </c>
      <c r="I99" s="50">
        <f t="shared" si="44"/>
        <v>0</v>
      </c>
      <c r="J99" s="51"/>
      <c r="K99" s="52"/>
      <c r="L99" s="52">
        <v>3</v>
      </c>
      <c r="M99" s="52"/>
      <c r="N99" s="52"/>
      <c r="O99" s="52"/>
      <c r="P99" s="52"/>
      <c r="Q99" s="52"/>
      <c r="R99" s="52"/>
      <c r="S99" s="52"/>
      <c r="T99" s="53"/>
      <c r="U99" s="52"/>
      <c r="V99" s="52"/>
      <c r="W99" s="17">
        <f t="shared" si="35"/>
        <v>3</v>
      </c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7">
        <f t="shared" si="32"/>
        <v>0</v>
      </c>
    </row>
    <row r="100" spans="1:36" ht="15" thickBot="1">
      <c r="A100" s="110" t="s">
        <v>159</v>
      </c>
      <c r="B100" s="103" t="s">
        <v>153</v>
      </c>
      <c r="C100" s="63"/>
      <c r="D100" s="63"/>
      <c r="E100" s="17">
        <v>156</v>
      </c>
      <c r="F100" s="49">
        <f t="shared" si="43"/>
        <v>157</v>
      </c>
      <c r="G100" s="17"/>
      <c r="H100" s="61">
        <f t="shared" si="38"/>
        <v>0</v>
      </c>
      <c r="I100" s="50">
        <f t="shared" si="44"/>
        <v>0</v>
      </c>
      <c r="J100" s="51"/>
      <c r="K100" s="52">
        <v>1</v>
      </c>
      <c r="L100" s="52"/>
      <c r="M100" s="52"/>
      <c r="N100" s="52"/>
      <c r="O100" s="52"/>
      <c r="P100" s="52"/>
      <c r="Q100" s="52"/>
      <c r="R100" s="52"/>
      <c r="S100" s="52"/>
      <c r="T100" s="53"/>
      <c r="U100" s="52"/>
      <c r="V100" s="52"/>
      <c r="W100" s="17">
        <f t="shared" si="35"/>
        <v>1</v>
      </c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7">
        <f t="shared" si="32"/>
        <v>0</v>
      </c>
    </row>
    <row r="101" spans="1:36" ht="15" thickBot="1">
      <c r="A101" s="110" t="s">
        <v>159</v>
      </c>
      <c r="B101" s="103" t="s">
        <v>154</v>
      </c>
      <c r="C101" s="63"/>
      <c r="D101" s="63"/>
      <c r="E101" s="17">
        <v>84</v>
      </c>
      <c r="F101" s="49">
        <f t="shared" si="43"/>
        <v>77</v>
      </c>
      <c r="G101" s="17"/>
      <c r="H101" s="61">
        <f t="shared" si="38"/>
        <v>0</v>
      </c>
      <c r="I101" s="50">
        <f t="shared" si="44"/>
        <v>0</v>
      </c>
      <c r="J101" s="51"/>
      <c r="K101" s="52"/>
      <c r="L101" s="52"/>
      <c r="M101" s="52"/>
      <c r="N101" s="52"/>
      <c r="O101" s="52"/>
      <c r="P101" s="52"/>
      <c r="Q101" s="52"/>
      <c r="R101" s="52"/>
      <c r="S101" s="52"/>
      <c r="T101" s="53"/>
      <c r="U101" s="52"/>
      <c r="V101" s="52"/>
      <c r="W101" s="17">
        <f t="shared" si="35"/>
        <v>0</v>
      </c>
      <c r="X101" s="126">
        <v>4</v>
      </c>
      <c r="Y101" s="126">
        <v>3</v>
      </c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7">
        <f t="shared" si="32"/>
        <v>7</v>
      </c>
    </row>
    <row r="102" spans="1:36" ht="15" thickBot="1">
      <c r="A102" s="110" t="s">
        <v>159</v>
      </c>
      <c r="B102" s="103" t="s">
        <v>155</v>
      </c>
      <c r="C102" s="63"/>
      <c r="D102" s="63"/>
      <c r="E102" s="17">
        <v>303</v>
      </c>
      <c r="F102" s="49">
        <f t="shared" si="43"/>
        <v>303</v>
      </c>
      <c r="G102" s="17"/>
      <c r="H102" s="61">
        <f t="shared" si="38"/>
        <v>0</v>
      </c>
      <c r="I102" s="50">
        <f t="shared" si="44"/>
        <v>0</v>
      </c>
      <c r="J102" s="51"/>
      <c r="K102" s="52"/>
      <c r="L102" s="52">
        <v>1</v>
      </c>
      <c r="M102" s="52"/>
      <c r="N102" s="52"/>
      <c r="O102" s="52"/>
      <c r="P102" s="52"/>
      <c r="Q102" s="52"/>
      <c r="R102" s="52"/>
      <c r="S102" s="52"/>
      <c r="T102" s="53"/>
      <c r="U102" s="52"/>
      <c r="V102" s="52"/>
      <c r="W102" s="17">
        <f t="shared" si="35"/>
        <v>1</v>
      </c>
      <c r="X102" s="126">
        <v>1</v>
      </c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7">
        <f t="shared" si="32"/>
        <v>1</v>
      </c>
    </row>
    <row r="103" spans="1:36" ht="15" thickBot="1">
      <c r="A103" s="110" t="s">
        <v>159</v>
      </c>
      <c r="B103" s="103" t="s">
        <v>156</v>
      </c>
      <c r="C103" s="63"/>
      <c r="D103" s="63"/>
      <c r="E103" s="17">
        <v>249</v>
      </c>
      <c r="F103" s="49">
        <f t="shared" si="43"/>
        <v>250</v>
      </c>
      <c r="G103" s="17"/>
      <c r="H103" s="61">
        <f t="shared" si="38"/>
        <v>0</v>
      </c>
      <c r="I103" s="50">
        <f t="shared" si="44"/>
        <v>0</v>
      </c>
      <c r="J103" s="51"/>
      <c r="K103" s="52">
        <v>2</v>
      </c>
      <c r="L103" s="52">
        <v>1</v>
      </c>
      <c r="M103" s="52"/>
      <c r="N103" s="52"/>
      <c r="O103" s="52"/>
      <c r="P103" s="52"/>
      <c r="Q103" s="52"/>
      <c r="R103" s="52"/>
      <c r="S103" s="52"/>
      <c r="T103" s="53"/>
      <c r="U103" s="52"/>
      <c r="V103" s="52"/>
      <c r="W103" s="17">
        <f t="shared" si="35"/>
        <v>3</v>
      </c>
      <c r="X103" s="126">
        <v>1</v>
      </c>
      <c r="Y103" s="126">
        <v>1</v>
      </c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7">
        <f t="shared" si="32"/>
        <v>2</v>
      </c>
    </row>
    <row r="104" spans="1:36" ht="15" thickBot="1">
      <c r="A104" s="110" t="s">
        <v>159</v>
      </c>
      <c r="B104" s="103" t="s">
        <v>157</v>
      </c>
      <c r="C104" s="63"/>
      <c r="D104" s="63"/>
      <c r="E104" s="17">
        <v>615</v>
      </c>
      <c r="F104" s="49">
        <f t="shared" si="43"/>
        <v>620</v>
      </c>
      <c r="G104" s="17"/>
      <c r="H104" s="61">
        <f t="shared" si="38"/>
        <v>0</v>
      </c>
      <c r="I104" s="50">
        <f t="shared" si="44"/>
        <v>0</v>
      </c>
      <c r="J104" s="51"/>
      <c r="K104" s="52">
        <v>4</v>
      </c>
      <c r="L104" s="52">
        <v>7</v>
      </c>
      <c r="M104" s="52"/>
      <c r="N104" s="52"/>
      <c r="O104" s="52"/>
      <c r="P104" s="52"/>
      <c r="Q104" s="52"/>
      <c r="R104" s="52"/>
      <c r="S104" s="52"/>
      <c r="T104" s="53"/>
      <c r="U104" s="52"/>
      <c r="V104" s="52"/>
      <c r="W104" s="17">
        <f t="shared" si="35"/>
        <v>11</v>
      </c>
      <c r="X104" s="126">
        <v>2</v>
      </c>
      <c r="Y104" s="126">
        <v>4</v>
      </c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7">
        <f t="shared" si="32"/>
        <v>6</v>
      </c>
    </row>
    <row r="105" spans="1:36" ht="15" thickBot="1">
      <c r="A105" s="110" t="s">
        <v>159</v>
      </c>
      <c r="B105" s="103" t="s">
        <v>158</v>
      </c>
      <c r="C105" s="63"/>
      <c r="D105" s="63"/>
      <c r="E105" s="17">
        <v>631</v>
      </c>
      <c r="F105" s="49">
        <f t="shared" si="43"/>
        <v>633</v>
      </c>
      <c r="G105" s="17"/>
      <c r="H105" s="61">
        <f t="shared" si="38"/>
        <v>0</v>
      </c>
      <c r="I105" s="50">
        <f t="shared" si="44"/>
        <v>0</v>
      </c>
      <c r="J105" s="51"/>
      <c r="K105" s="52">
        <v>10</v>
      </c>
      <c r="L105" s="52">
        <v>3</v>
      </c>
      <c r="M105" s="52"/>
      <c r="N105" s="52"/>
      <c r="O105" s="52"/>
      <c r="P105" s="52"/>
      <c r="Q105" s="52"/>
      <c r="R105" s="52"/>
      <c r="S105" s="52"/>
      <c r="T105" s="53"/>
      <c r="U105" s="52"/>
      <c r="V105" s="52"/>
      <c r="W105" s="17">
        <f t="shared" si="35"/>
        <v>13</v>
      </c>
      <c r="X105" s="126">
        <v>3</v>
      </c>
      <c r="Y105" s="126">
        <v>8</v>
      </c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7">
        <f>SUM(X105:AI105)</f>
        <v>11</v>
      </c>
    </row>
    <row r="106" spans="1:39" ht="15" thickBot="1">
      <c r="A106" s="196" t="s">
        <v>206</v>
      </c>
      <c r="B106" s="197"/>
      <c r="C106" s="45">
        <f>+D106/Metas!N33</f>
        <v>0.9822033737971624</v>
      </c>
      <c r="D106" s="19">
        <f>+F106/AK106</f>
        <v>0.6875423616580136</v>
      </c>
      <c r="E106" s="14">
        <f aca="true" t="shared" si="45" ref="E106:K106">SUM(E90:E105)</f>
        <v>11181</v>
      </c>
      <c r="F106" s="14">
        <f t="shared" si="45"/>
        <v>11276</v>
      </c>
      <c r="G106" s="14">
        <f t="shared" si="45"/>
        <v>0</v>
      </c>
      <c r="H106" s="14">
        <f t="shared" si="45"/>
        <v>0</v>
      </c>
      <c r="I106" s="14">
        <f>SUM(I90:I105)</f>
        <v>0</v>
      </c>
      <c r="J106" s="14">
        <f t="shared" si="45"/>
        <v>0</v>
      </c>
      <c r="K106" s="14">
        <f t="shared" si="45"/>
        <v>78</v>
      </c>
      <c r="L106" s="14">
        <f aca="true" t="shared" si="46" ref="L106:V106">SUM(L90:L105)</f>
        <v>68</v>
      </c>
      <c r="M106" s="14">
        <f t="shared" si="46"/>
        <v>0</v>
      </c>
      <c r="N106" s="14">
        <f t="shared" si="46"/>
        <v>0</v>
      </c>
      <c r="O106" s="14">
        <f t="shared" si="46"/>
        <v>0</v>
      </c>
      <c r="P106" s="14">
        <f t="shared" si="46"/>
        <v>0</v>
      </c>
      <c r="Q106" s="14">
        <f t="shared" si="46"/>
        <v>0</v>
      </c>
      <c r="R106" s="14">
        <f t="shared" si="46"/>
        <v>0</v>
      </c>
      <c r="S106" s="14">
        <f t="shared" si="46"/>
        <v>0</v>
      </c>
      <c r="T106" s="14">
        <f t="shared" si="46"/>
        <v>0</v>
      </c>
      <c r="U106" s="14">
        <f t="shared" si="46"/>
        <v>0</v>
      </c>
      <c r="V106" s="14">
        <f t="shared" si="46"/>
        <v>0</v>
      </c>
      <c r="W106" s="14">
        <f t="shared" si="35"/>
        <v>146</v>
      </c>
      <c r="X106" s="14">
        <f aca="true" t="shared" si="47" ref="X106:AI106">SUM(X90:X105)</f>
        <v>25</v>
      </c>
      <c r="Y106" s="14">
        <f t="shared" si="47"/>
        <v>26</v>
      </c>
      <c r="Z106" s="14">
        <f t="shared" si="47"/>
        <v>0</v>
      </c>
      <c r="AA106" s="14">
        <f t="shared" si="47"/>
        <v>0</v>
      </c>
      <c r="AB106" s="14">
        <f t="shared" si="47"/>
        <v>0</v>
      </c>
      <c r="AC106" s="14">
        <f t="shared" si="47"/>
        <v>0</v>
      </c>
      <c r="AD106" s="14">
        <f t="shared" si="47"/>
        <v>0</v>
      </c>
      <c r="AE106" s="14">
        <f t="shared" si="47"/>
        <v>0</v>
      </c>
      <c r="AF106" s="14">
        <f t="shared" si="47"/>
        <v>0</v>
      </c>
      <c r="AG106" s="14">
        <f t="shared" si="47"/>
        <v>0</v>
      </c>
      <c r="AH106" s="14">
        <f t="shared" si="47"/>
        <v>0</v>
      </c>
      <c r="AI106" s="14">
        <f t="shared" si="47"/>
        <v>0</v>
      </c>
      <c r="AJ106" s="14">
        <f t="shared" si="32"/>
        <v>51</v>
      </c>
      <c r="AK106" s="14">
        <f>+AL106+AM106</f>
        <v>16400.444</v>
      </c>
      <c r="AL106" s="14">
        <f>59476*0.157</f>
        <v>9337.732</v>
      </c>
      <c r="AM106" s="14">
        <f>10984*0.643</f>
        <v>7062.712</v>
      </c>
    </row>
    <row r="107" spans="1:36" ht="15" thickBot="1">
      <c r="A107" s="110" t="s">
        <v>172</v>
      </c>
      <c r="B107" s="103" t="s">
        <v>160</v>
      </c>
      <c r="C107" s="63"/>
      <c r="D107" s="63"/>
      <c r="E107" s="17">
        <v>20</v>
      </c>
      <c r="F107" s="49">
        <f aca="true" t="shared" si="48" ref="F107:F117">+E107+(K107+L107+M107)-(X107+Y107+Z107)</f>
        <v>20</v>
      </c>
      <c r="G107" s="17"/>
      <c r="H107" s="61">
        <f t="shared" si="38"/>
        <v>0</v>
      </c>
      <c r="I107" s="50">
        <f aca="true" t="shared" si="49" ref="I107:I118">+G107+(Q107+R107+S107+T107)-(AD107+AE107+AF107+AG107)</f>
        <v>0</v>
      </c>
      <c r="J107" s="51"/>
      <c r="K107" s="52"/>
      <c r="L107" s="52"/>
      <c r="M107" s="52"/>
      <c r="N107" s="52"/>
      <c r="O107" s="52"/>
      <c r="P107" s="52"/>
      <c r="Q107" s="52"/>
      <c r="R107" s="52"/>
      <c r="S107" s="52"/>
      <c r="T107" s="53"/>
      <c r="U107" s="52"/>
      <c r="V107" s="52"/>
      <c r="W107" s="17">
        <f t="shared" si="35"/>
        <v>0</v>
      </c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7">
        <f t="shared" si="32"/>
        <v>0</v>
      </c>
    </row>
    <row r="108" spans="1:36" ht="15" thickBot="1">
      <c r="A108" s="110" t="s">
        <v>172</v>
      </c>
      <c r="B108" s="103" t="s">
        <v>161</v>
      </c>
      <c r="C108" s="63"/>
      <c r="D108" s="63"/>
      <c r="E108" s="17">
        <v>128</v>
      </c>
      <c r="F108" s="49">
        <f t="shared" si="48"/>
        <v>126</v>
      </c>
      <c r="G108" s="17"/>
      <c r="H108" s="61">
        <f t="shared" si="38"/>
        <v>0</v>
      </c>
      <c r="I108" s="50">
        <f t="shared" si="49"/>
        <v>0</v>
      </c>
      <c r="J108" s="51"/>
      <c r="K108" s="52"/>
      <c r="L108" s="52"/>
      <c r="M108" s="52"/>
      <c r="N108" s="52"/>
      <c r="O108" s="52"/>
      <c r="P108" s="52"/>
      <c r="Q108" s="52"/>
      <c r="R108" s="52"/>
      <c r="S108" s="52"/>
      <c r="T108" s="53"/>
      <c r="U108" s="52"/>
      <c r="V108" s="52"/>
      <c r="W108" s="17">
        <f t="shared" si="35"/>
        <v>0</v>
      </c>
      <c r="X108" s="126">
        <v>2</v>
      </c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7">
        <f t="shared" si="32"/>
        <v>2</v>
      </c>
    </row>
    <row r="109" spans="1:36" ht="15" thickBot="1">
      <c r="A109" s="110" t="s">
        <v>172</v>
      </c>
      <c r="B109" s="103" t="s">
        <v>162</v>
      </c>
      <c r="C109" s="63"/>
      <c r="D109" s="63"/>
      <c r="E109" s="17">
        <v>111</v>
      </c>
      <c r="F109" s="49">
        <f t="shared" si="48"/>
        <v>109</v>
      </c>
      <c r="G109" s="17"/>
      <c r="H109" s="61">
        <f t="shared" si="38"/>
        <v>0</v>
      </c>
      <c r="I109" s="50">
        <f t="shared" si="49"/>
        <v>0</v>
      </c>
      <c r="J109" s="51"/>
      <c r="K109" s="52"/>
      <c r="L109" s="52"/>
      <c r="M109" s="52"/>
      <c r="N109" s="52"/>
      <c r="O109" s="52"/>
      <c r="P109" s="52"/>
      <c r="Q109" s="52"/>
      <c r="R109" s="52"/>
      <c r="S109" s="52"/>
      <c r="T109" s="53"/>
      <c r="U109" s="52"/>
      <c r="V109" s="52"/>
      <c r="W109" s="17">
        <f t="shared" si="35"/>
        <v>0</v>
      </c>
      <c r="X109" s="126">
        <v>2</v>
      </c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7">
        <f t="shared" si="32"/>
        <v>2</v>
      </c>
    </row>
    <row r="110" spans="1:36" ht="15" thickBot="1">
      <c r="A110" s="110" t="s">
        <v>172</v>
      </c>
      <c r="B110" s="103" t="s">
        <v>163</v>
      </c>
      <c r="C110" s="63"/>
      <c r="D110" s="63"/>
      <c r="E110" s="17">
        <v>132</v>
      </c>
      <c r="F110" s="49">
        <f t="shared" si="48"/>
        <v>133</v>
      </c>
      <c r="G110" s="17"/>
      <c r="H110" s="61">
        <f t="shared" si="38"/>
        <v>0</v>
      </c>
      <c r="I110" s="50">
        <f t="shared" si="49"/>
        <v>0</v>
      </c>
      <c r="J110" s="51"/>
      <c r="K110" s="52">
        <v>1</v>
      </c>
      <c r="L110" s="52">
        <v>1</v>
      </c>
      <c r="M110" s="52"/>
      <c r="N110" s="52"/>
      <c r="O110" s="52"/>
      <c r="P110" s="52"/>
      <c r="Q110" s="52"/>
      <c r="R110" s="52"/>
      <c r="S110" s="52"/>
      <c r="T110" s="53"/>
      <c r="U110" s="52"/>
      <c r="V110" s="52"/>
      <c r="W110" s="17">
        <f t="shared" si="35"/>
        <v>2</v>
      </c>
      <c r="X110" s="126">
        <v>1</v>
      </c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7">
        <f t="shared" si="32"/>
        <v>1</v>
      </c>
    </row>
    <row r="111" spans="1:36" ht="15" thickBot="1">
      <c r="A111" s="110" t="s">
        <v>172</v>
      </c>
      <c r="B111" s="103" t="s">
        <v>164</v>
      </c>
      <c r="C111" s="63"/>
      <c r="D111" s="63"/>
      <c r="E111" s="17">
        <v>187</v>
      </c>
      <c r="F111" s="49">
        <f t="shared" si="48"/>
        <v>181</v>
      </c>
      <c r="G111" s="17"/>
      <c r="H111" s="61">
        <f t="shared" si="38"/>
        <v>0</v>
      </c>
      <c r="I111" s="50">
        <f t="shared" si="49"/>
        <v>0</v>
      </c>
      <c r="J111" s="51"/>
      <c r="K111" s="52"/>
      <c r="L111" s="52"/>
      <c r="M111" s="52"/>
      <c r="N111" s="52"/>
      <c r="O111" s="52"/>
      <c r="P111" s="52"/>
      <c r="Q111" s="52"/>
      <c r="R111" s="52"/>
      <c r="S111" s="52"/>
      <c r="T111" s="53"/>
      <c r="U111" s="52"/>
      <c r="V111" s="52"/>
      <c r="W111" s="17">
        <f t="shared" si="35"/>
        <v>0</v>
      </c>
      <c r="X111" s="126">
        <v>6</v>
      </c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  <c r="AI111" s="126"/>
      <c r="AJ111" s="17">
        <f t="shared" si="32"/>
        <v>6</v>
      </c>
    </row>
    <row r="112" spans="1:36" ht="15" thickBot="1">
      <c r="A112" s="110" t="s">
        <v>172</v>
      </c>
      <c r="B112" s="103" t="s">
        <v>165</v>
      </c>
      <c r="C112" s="63"/>
      <c r="D112" s="63"/>
      <c r="E112" s="17">
        <v>48</v>
      </c>
      <c r="F112" s="49">
        <f t="shared" si="48"/>
        <v>47</v>
      </c>
      <c r="G112" s="17"/>
      <c r="H112" s="61">
        <f t="shared" si="38"/>
        <v>0</v>
      </c>
      <c r="I112" s="50">
        <f t="shared" si="49"/>
        <v>0</v>
      </c>
      <c r="J112" s="51"/>
      <c r="K112" s="52"/>
      <c r="L112" s="52"/>
      <c r="M112" s="52"/>
      <c r="N112" s="52"/>
      <c r="O112" s="52"/>
      <c r="P112" s="52"/>
      <c r="Q112" s="52"/>
      <c r="R112" s="52"/>
      <c r="S112" s="52"/>
      <c r="T112" s="53"/>
      <c r="U112" s="52"/>
      <c r="V112" s="52"/>
      <c r="W112" s="17">
        <f t="shared" si="35"/>
        <v>0</v>
      </c>
      <c r="X112" s="126">
        <v>1</v>
      </c>
      <c r="Y112" s="126"/>
      <c r="Z112" s="126"/>
      <c r="AA112" s="126"/>
      <c r="AB112" s="126"/>
      <c r="AC112" s="126"/>
      <c r="AD112" s="126"/>
      <c r="AE112" s="126"/>
      <c r="AF112" s="126"/>
      <c r="AG112" s="126"/>
      <c r="AH112" s="126"/>
      <c r="AI112" s="126"/>
      <c r="AJ112" s="17">
        <f t="shared" si="32"/>
        <v>1</v>
      </c>
    </row>
    <row r="113" spans="1:36" ht="15" thickBot="1">
      <c r="A113" s="110" t="s">
        <v>172</v>
      </c>
      <c r="B113" s="103" t="s">
        <v>166</v>
      </c>
      <c r="C113" s="63"/>
      <c r="D113" s="63"/>
      <c r="E113" s="17">
        <v>99</v>
      </c>
      <c r="F113" s="49">
        <f t="shared" si="48"/>
        <v>99</v>
      </c>
      <c r="G113" s="17"/>
      <c r="H113" s="61">
        <f t="shared" si="38"/>
        <v>0</v>
      </c>
      <c r="I113" s="50">
        <f t="shared" si="49"/>
        <v>0</v>
      </c>
      <c r="J113" s="51"/>
      <c r="K113" s="52"/>
      <c r="L113" s="52"/>
      <c r="M113" s="52"/>
      <c r="N113" s="52"/>
      <c r="O113" s="52"/>
      <c r="P113" s="52"/>
      <c r="Q113" s="52"/>
      <c r="R113" s="52"/>
      <c r="S113" s="52"/>
      <c r="T113" s="53"/>
      <c r="U113" s="52"/>
      <c r="V113" s="52"/>
      <c r="W113" s="17">
        <f t="shared" si="35"/>
        <v>0</v>
      </c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  <c r="AH113" s="126"/>
      <c r="AI113" s="126"/>
      <c r="AJ113" s="17">
        <f t="shared" si="32"/>
        <v>0</v>
      </c>
    </row>
    <row r="114" spans="1:36" ht="15" thickBot="1">
      <c r="A114" s="110" t="s">
        <v>172</v>
      </c>
      <c r="B114" s="103" t="s">
        <v>167</v>
      </c>
      <c r="C114" s="63"/>
      <c r="D114" s="63"/>
      <c r="E114" s="17">
        <v>146</v>
      </c>
      <c r="F114" s="49">
        <f t="shared" si="48"/>
        <v>147</v>
      </c>
      <c r="G114" s="17"/>
      <c r="H114" s="61">
        <f t="shared" si="38"/>
        <v>0</v>
      </c>
      <c r="I114" s="50">
        <f t="shared" si="49"/>
        <v>0</v>
      </c>
      <c r="J114" s="51"/>
      <c r="K114" s="52">
        <v>1</v>
      </c>
      <c r="L114" s="52"/>
      <c r="M114" s="52"/>
      <c r="N114" s="52"/>
      <c r="O114" s="52"/>
      <c r="P114" s="52"/>
      <c r="Q114" s="52"/>
      <c r="R114" s="52"/>
      <c r="S114" s="52"/>
      <c r="T114" s="53"/>
      <c r="U114" s="52"/>
      <c r="V114" s="52"/>
      <c r="W114" s="17">
        <f t="shared" si="35"/>
        <v>1</v>
      </c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7">
        <f t="shared" si="32"/>
        <v>0</v>
      </c>
    </row>
    <row r="115" spans="1:36" ht="15" thickBot="1">
      <c r="A115" s="110" t="s">
        <v>172</v>
      </c>
      <c r="B115" s="103" t="s">
        <v>168</v>
      </c>
      <c r="C115" s="63"/>
      <c r="D115" s="63"/>
      <c r="E115" s="17">
        <v>98</v>
      </c>
      <c r="F115" s="49">
        <f t="shared" si="48"/>
        <v>99</v>
      </c>
      <c r="G115" s="17"/>
      <c r="H115" s="61">
        <f t="shared" si="38"/>
        <v>0</v>
      </c>
      <c r="I115" s="50">
        <f t="shared" si="49"/>
        <v>0</v>
      </c>
      <c r="J115" s="51"/>
      <c r="K115" s="52">
        <v>1</v>
      </c>
      <c r="L115" s="52"/>
      <c r="M115" s="52"/>
      <c r="N115" s="52"/>
      <c r="O115" s="52"/>
      <c r="P115" s="52"/>
      <c r="Q115" s="52"/>
      <c r="R115" s="52"/>
      <c r="S115" s="52"/>
      <c r="T115" s="53"/>
      <c r="U115" s="52"/>
      <c r="V115" s="52"/>
      <c r="W115" s="17">
        <f t="shared" si="35"/>
        <v>1</v>
      </c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7">
        <f t="shared" si="32"/>
        <v>0</v>
      </c>
    </row>
    <row r="116" spans="1:36" ht="15" thickBot="1">
      <c r="A116" s="110" t="s">
        <v>172</v>
      </c>
      <c r="B116" s="103" t="s">
        <v>169</v>
      </c>
      <c r="C116" s="63"/>
      <c r="D116" s="63"/>
      <c r="E116" s="17">
        <v>50</v>
      </c>
      <c r="F116" s="49">
        <f t="shared" si="48"/>
        <v>49</v>
      </c>
      <c r="G116" s="17"/>
      <c r="H116" s="61">
        <f t="shared" si="38"/>
        <v>0</v>
      </c>
      <c r="I116" s="50">
        <f t="shared" si="49"/>
        <v>0</v>
      </c>
      <c r="J116" s="51"/>
      <c r="K116" s="52"/>
      <c r="L116" s="52"/>
      <c r="M116" s="52"/>
      <c r="N116" s="52"/>
      <c r="O116" s="52"/>
      <c r="P116" s="52"/>
      <c r="Q116" s="52"/>
      <c r="R116" s="52"/>
      <c r="S116" s="52"/>
      <c r="T116" s="53"/>
      <c r="U116" s="52"/>
      <c r="V116" s="52"/>
      <c r="W116" s="17">
        <f t="shared" si="35"/>
        <v>0</v>
      </c>
      <c r="X116" s="126">
        <v>1</v>
      </c>
      <c r="Y116" s="126"/>
      <c r="Z116" s="126"/>
      <c r="AA116" s="126"/>
      <c r="AB116" s="126"/>
      <c r="AC116" s="126"/>
      <c r="AD116" s="126"/>
      <c r="AE116" s="126"/>
      <c r="AF116" s="126"/>
      <c r="AG116" s="126"/>
      <c r="AH116" s="126"/>
      <c r="AI116" s="126"/>
      <c r="AJ116" s="17">
        <f t="shared" si="32"/>
        <v>1</v>
      </c>
    </row>
    <row r="117" spans="1:36" ht="15" thickBot="1">
      <c r="A117" s="110" t="s">
        <v>172</v>
      </c>
      <c r="B117" s="103" t="s">
        <v>170</v>
      </c>
      <c r="C117" s="63"/>
      <c r="D117" s="63"/>
      <c r="E117" s="17">
        <v>63</v>
      </c>
      <c r="F117" s="49">
        <f t="shared" si="48"/>
        <v>63</v>
      </c>
      <c r="G117" s="17"/>
      <c r="H117" s="61">
        <f t="shared" si="38"/>
        <v>0</v>
      </c>
      <c r="I117" s="50">
        <f t="shared" si="49"/>
        <v>0</v>
      </c>
      <c r="J117" s="51"/>
      <c r="K117" s="52"/>
      <c r="L117" s="52"/>
      <c r="M117" s="52"/>
      <c r="N117" s="52"/>
      <c r="O117" s="52"/>
      <c r="P117" s="52"/>
      <c r="Q117" s="52"/>
      <c r="R117" s="52"/>
      <c r="S117" s="52"/>
      <c r="T117" s="53"/>
      <c r="U117" s="52"/>
      <c r="V117" s="52"/>
      <c r="W117" s="17">
        <f t="shared" si="35"/>
        <v>0</v>
      </c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7">
        <f t="shared" si="32"/>
        <v>0</v>
      </c>
    </row>
    <row r="118" spans="1:36" ht="15" thickBot="1">
      <c r="A118" s="110" t="s">
        <v>172</v>
      </c>
      <c r="B118" s="103" t="s">
        <v>171</v>
      </c>
      <c r="C118" s="63"/>
      <c r="D118" s="63"/>
      <c r="E118" s="17">
        <v>51</v>
      </c>
      <c r="F118" s="49">
        <f>+E118+(K118+L118+M118)-(X118+Y118+Z118)</f>
        <v>51</v>
      </c>
      <c r="G118" s="17"/>
      <c r="H118" s="61">
        <f t="shared" si="38"/>
        <v>0</v>
      </c>
      <c r="I118" s="50">
        <f t="shared" si="49"/>
        <v>0</v>
      </c>
      <c r="J118" s="51"/>
      <c r="K118" s="52"/>
      <c r="L118" s="52"/>
      <c r="M118" s="52"/>
      <c r="N118" s="52"/>
      <c r="O118" s="52"/>
      <c r="P118" s="52"/>
      <c r="Q118" s="52"/>
      <c r="R118" s="52"/>
      <c r="S118" s="52"/>
      <c r="T118" s="53"/>
      <c r="U118" s="52"/>
      <c r="V118" s="52"/>
      <c r="W118" s="17">
        <f t="shared" si="35"/>
        <v>0</v>
      </c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7">
        <f t="shared" si="32"/>
        <v>0</v>
      </c>
    </row>
    <row r="119" spans="1:39" ht="15" thickBot="1">
      <c r="A119" s="196" t="s">
        <v>207</v>
      </c>
      <c r="B119" s="197"/>
      <c r="C119" s="45">
        <f>+D119/Metas!N27</f>
        <v>0.9930259539878419</v>
      </c>
      <c r="D119" s="19">
        <f>+F119/AK119</f>
        <v>0.7745602441105167</v>
      </c>
      <c r="E119" s="14">
        <f aca="true" t="shared" si="50" ref="E119:K119">SUM(E107:E118)</f>
        <v>1133</v>
      </c>
      <c r="F119" s="14">
        <f t="shared" si="50"/>
        <v>1124</v>
      </c>
      <c r="G119" s="14">
        <f t="shared" si="50"/>
        <v>0</v>
      </c>
      <c r="H119" s="14">
        <f t="shared" si="50"/>
        <v>0</v>
      </c>
      <c r="I119" s="14">
        <f>SUM(I107:I118)</f>
        <v>0</v>
      </c>
      <c r="J119" s="14">
        <f t="shared" si="50"/>
        <v>0</v>
      </c>
      <c r="K119" s="14">
        <f t="shared" si="50"/>
        <v>3</v>
      </c>
      <c r="L119" s="14">
        <f aca="true" t="shared" si="51" ref="L119:V119">SUM(L107:L118)</f>
        <v>1</v>
      </c>
      <c r="M119" s="14">
        <f t="shared" si="51"/>
        <v>0</v>
      </c>
      <c r="N119" s="14">
        <f t="shared" si="51"/>
        <v>0</v>
      </c>
      <c r="O119" s="14">
        <f t="shared" si="51"/>
        <v>0</v>
      </c>
      <c r="P119" s="14">
        <f t="shared" si="51"/>
        <v>0</v>
      </c>
      <c r="Q119" s="14">
        <f t="shared" si="51"/>
        <v>0</v>
      </c>
      <c r="R119" s="14">
        <f t="shared" si="51"/>
        <v>0</v>
      </c>
      <c r="S119" s="14">
        <f t="shared" si="51"/>
        <v>0</v>
      </c>
      <c r="T119" s="14">
        <f t="shared" si="51"/>
        <v>0</v>
      </c>
      <c r="U119" s="14">
        <f t="shared" si="51"/>
        <v>0</v>
      </c>
      <c r="V119" s="14">
        <f t="shared" si="51"/>
        <v>0</v>
      </c>
      <c r="W119" s="14">
        <f t="shared" si="35"/>
        <v>4</v>
      </c>
      <c r="X119" s="14">
        <f aca="true" t="shared" si="52" ref="X119:AI119">SUM(X107:X118)</f>
        <v>13</v>
      </c>
      <c r="Y119" s="14">
        <f t="shared" si="52"/>
        <v>0</v>
      </c>
      <c r="Z119" s="14">
        <f t="shared" si="52"/>
        <v>0</v>
      </c>
      <c r="AA119" s="14">
        <f t="shared" si="52"/>
        <v>0</v>
      </c>
      <c r="AB119" s="14">
        <f t="shared" si="52"/>
        <v>0</v>
      </c>
      <c r="AC119" s="14">
        <f t="shared" si="52"/>
        <v>0</v>
      </c>
      <c r="AD119" s="14">
        <f t="shared" si="52"/>
        <v>0</v>
      </c>
      <c r="AE119" s="14">
        <f t="shared" si="52"/>
        <v>0</v>
      </c>
      <c r="AF119" s="14">
        <f t="shared" si="52"/>
        <v>0</v>
      </c>
      <c r="AG119" s="14">
        <f t="shared" si="52"/>
        <v>0</v>
      </c>
      <c r="AH119" s="14">
        <f t="shared" si="52"/>
        <v>0</v>
      </c>
      <c r="AI119" s="14">
        <f t="shared" si="52"/>
        <v>0</v>
      </c>
      <c r="AJ119" s="14">
        <f t="shared" si="32"/>
        <v>13</v>
      </c>
      <c r="AK119" s="14">
        <f>+AL119+AM119</f>
        <v>1451.1460000000002</v>
      </c>
      <c r="AL119" s="14">
        <f>4529*0.157</f>
        <v>711.053</v>
      </c>
      <c r="AM119" s="14">
        <f>1151*0.643</f>
        <v>740.0930000000001</v>
      </c>
    </row>
    <row r="120" spans="1:36" ht="15" thickBot="1">
      <c r="A120" s="110" t="s">
        <v>186</v>
      </c>
      <c r="B120" s="103" t="s">
        <v>173</v>
      </c>
      <c r="C120" s="63"/>
      <c r="D120" s="63"/>
      <c r="E120" s="17">
        <v>857</v>
      </c>
      <c r="F120" s="49">
        <f aca="true" t="shared" si="53" ref="F120:F132">+E120+(K120+L120+M120)-(X120+Y120+Z120)</f>
        <v>860</v>
      </c>
      <c r="G120" s="17"/>
      <c r="H120" s="61">
        <f t="shared" si="38"/>
        <v>0</v>
      </c>
      <c r="I120" s="50">
        <f aca="true" t="shared" si="54" ref="I120:I132">+G120+(Q120+R120+S120+T120)-(AD120+AE120+AF120+AG120)</f>
        <v>0</v>
      </c>
      <c r="J120" s="51"/>
      <c r="K120" s="52">
        <v>4</v>
      </c>
      <c r="L120" s="52">
        <v>6</v>
      </c>
      <c r="M120" s="52"/>
      <c r="N120" s="52"/>
      <c r="O120" s="52"/>
      <c r="P120" s="52"/>
      <c r="Q120" s="52"/>
      <c r="R120" s="52"/>
      <c r="S120" s="52"/>
      <c r="T120" s="53"/>
      <c r="U120" s="52"/>
      <c r="V120" s="52"/>
      <c r="W120" s="17">
        <f t="shared" si="35"/>
        <v>10</v>
      </c>
      <c r="X120" s="126">
        <v>3</v>
      </c>
      <c r="Y120" s="126">
        <v>4</v>
      </c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7">
        <f t="shared" si="32"/>
        <v>7</v>
      </c>
    </row>
    <row r="121" spans="1:36" ht="15" thickBot="1">
      <c r="A121" s="110" t="s">
        <v>186</v>
      </c>
      <c r="B121" s="103" t="s">
        <v>174</v>
      </c>
      <c r="C121" s="63"/>
      <c r="D121" s="63"/>
      <c r="E121" s="17">
        <v>455</v>
      </c>
      <c r="F121" s="49">
        <f t="shared" si="53"/>
        <v>456</v>
      </c>
      <c r="G121" s="17"/>
      <c r="H121" s="61">
        <f t="shared" si="38"/>
        <v>0</v>
      </c>
      <c r="I121" s="50">
        <f t="shared" si="54"/>
        <v>0</v>
      </c>
      <c r="J121" s="51"/>
      <c r="K121" s="52">
        <v>1</v>
      </c>
      <c r="L121" s="52"/>
      <c r="M121" s="52"/>
      <c r="N121" s="52"/>
      <c r="O121" s="52"/>
      <c r="P121" s="52"/>
      <c r="Q121" s="52"/>
      <c r="R121" s="52"/>
      <c r="S121" s="52"/>
      <c r="T121" s="53"/>
      <c r="U121" s="52"/>
      <c r="V121" s="52"/>
      <c r="W121" s="17">
        <f t="shared" si="35"/>
        <v>1</v>
      </c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126"/>
      <c r="AJ121" s="17">
        <f t="shared" si="32"/>
        <v>0</v>
      </c>
    </row>
    <row r="122" spans="1:36" ht="15" thickBot="1">
      <c r="A122" s="110" t="s">
        <v>186</v>
      </c>
      <c r="B122" s="103" t="s">
        <v>175</v>
      </c>
      <c r="C122" s="63"/>
      <c r="D122" s="63"/>
      <c r="E122" s="17">
        <v>391</v>
      </c>
      <c r="F122" s="49">
        <f t="shared" si="53"/>
        <v>393</v>
      </c>
      <c r="G122" s="17"/>
      <c r="H122" s="61">
        <f t="shared" si="38"/>
        <v>0</v>
      </c>
      <c r="I122" s="50">
        <f t="shared" si="54"/>
        <v>0</v>
      </c>
      <c r="J122" s="51"/>
      <c r="K122" s="52">
        <v>3</v>
      </c>
      <c r="L122" s="52">
        <v>1</v>
      </c>
      <c r="M122" s="52"/>
      <c r="N122" s="52"/>
      <c r="O122" s="52"/>
      <c r="P122" s="52"/>
      <c r="Q122" s="52"/>
      <c r="R122" s="52"/>
      <c r="S122" s="52"/>
      <c r="T122" s="53"/>
      <c r="U122" s="52"/>
      <c r="V122" s="52"/>
      <c r="W122" s="17">
        <f t="shared" si="35"/>
        <v>4</v>
      </c>
      <c r="X122" s="126">
        <v>1</v>
      </c>
      <c r="Y122" s="126">
        <v>1</v>
      </c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7">
        <f t="shared" si="32"/>
        <v>2</v>
      </c>
    </row>
    <row r="123" spans="1:36" ht="15" thickBot="1">
      <c r="A123" s="110" t="s">
        <v>186</v>
      </c>
      <c r="B123" s="103" t="s">
        <v>176</v>
      </c>
      <c r="C123" s="63"/>
      <c r="D123" s="63"/>
      <c r="E123" s="17">
        <v>958</v>
      </c>
      <c r="F123" s="49">
        <f t="shared" si="53"/>
        <v>953</v>
      </c>
      <c r="G123" s="17"/>
      <c r="H123" s="61">
        <f t="shared" si="38"/>
        <v>0</v>
      </c>
      <c r="I123" s="50">
        <f t="shared" si="54"/>
        <v>0</v>
      </c>
      <c r="J123" s="51"/>
      <c r="K123" s="52"/>
      <c r="L123" s="52">
        <v>1</v>
      </c>
      <c r="M123" s="52"/>
      <c r="N123" s="52"/>
      <c r="O123" s="52"/>
      <c r="P123" s="52"/>
      <c r="Q123" s="52"/>
      <c r="R123" s="52"/>
      <c r="S123" s="52"/>
      <c r="T123" s="53"/>
      <c r="U123" s="52"/>
      <c r="V123" s="52"/>
      <c r="W123" s="17">
        <f t="shared" si="35"/>
        <v>1</v>
      </c>
      <c r="X123" s="126">
        <v>5</v>
      </c>
      <c r="Y123" s="126">
        <v>1</v>
      </c>
      <c r="Z123" s="126"/>
      <c r="AA123" s="126"/>
      <c r="AB123" s="126"/>
      <c r="AC123" s="126"/>
      <c r="AD123" s="126"/>
      <c r="AE123" s="126"/>
      <c r="AF123" s="126"/>
      <c r="AG123" s="126"/>
      <c r="AH123" s="126"/>
      <c r="AI123" s="126"/>
      <c r="AJ123" s="17">
        <f t="shared" si="32"/>
        <v>6</v>
      </c>
    </row>
    <row r="124" spans="1:36" ht="15" thickBot="1">
      <c r="A124" s="110" t="s">
        <v>186</v>
      </c>
      <c r="B124" s="103" t="s">
        <v>177</v>
      </c>
      <c r="C124" s="63"/>
      <c r="D124" s="63"/>
      <c r="E124" s="17">
        <v>98</v>
      </c>
      <c r="F124" s="49">
        <f t="shared" si="53"/>
        <v>98</v>
      </c>
      <c r="G124" s="17"/>
      <c r="H124" s="61">
        <f t="shared" si="38"/>
        <v>0</v>
      </c>
      <c r="I124" s="50">
        <f t="shared" si="54"/>
        <v>0</v>
      </c>
      <c r="J124" s="51"/>
      <c r="K124" s="52"/>
      <c r="L124" s="52"/>
      <c r="M124" s="52"/>
      <c r="N124" s="52"/>
      <c r="O124" s="52"/>
      <c r="P124" s="52"/>
      <c r="Q124" s="52"/>
      <c r="R124" s="52"/>
      <c r="S124" s="52"/>
      <c r="T124" s="53"/>
      <c r="U124" s="52"/>
      <c r="V124" s="52"/>
      <c r="W124" s="17">
        <f t="shared" si="35"/>
        <v>0</v>
      </c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6"/>
      <c r="AJ124" s="17">
        <f t="shared" si="32"/>
        <v>0</v>
      </c>
    </row>
    <row r="125" spans="1:36" ht="15" thickBot="1">
      <c r="A125" s="110" t="s">
        <v>186</v>
      </c>
      <c r="B125" s="103" t="s">
        <v>178</v>
      </c>
      <c r="C125" s="63"/>
      <c r="D125" s="63"/>
      <c r="E125" s="17">
        <v>98</v>
      </c>
      <c r="F125" s="49">
        <f t="shared" si="53"/>
        <v>98</v>
      </c>
      <c r="G125" s="17"/>
      <c r="H125" s="61">
        <f t="shared" si="38"/>
        <v>0</v>
      </c>
      <c r="I125" s="50">
        <f t="shared" si="54"/>
        <v>0</v>
      </c>
      <c r="J125" s="51"/>
      <c r="K125" s="52"/>
      <c r="L125" s="52"/>
      <c r="M125" s="52"/>
      <c r="N125" s="52"/>
      <c r="O125" s="52"/>
      <c r="P125" s="52"/>
      <c r="Q125" s="52"/>
      <c r="R125" s="52"/>
      <c r="S125" s="52"/>
      <c r="T125" s="53"/>
      <c r="U125" s="52"/>
      <c r="V125" s="52"/>
      <c r="W125" s="17">
        <f t="shared" si="35"/>
        <v>0</v>
      </c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  <c r="AI125" s="126"/>
      <c r="AJ125" s="17">
        <f t="shared" si="32"/>
        <v>0</v>
      </c>
    </row>
    <row r="126" spans="1:36" ht="15" thickBot="1">
      <c r="A126" s="110" t="s">
        <v>186</v>
      </c>
      <c r="B126" s="103" t="s">
        <v>179</v>
      </c>
      <c r="C126" s="63"/>
      <c r="D126" s="63"/>
      <c r="E126" s="17">
        <v>98</v>
      </c>
      <c r="F126" s="49">
        <f t="shared" si="53"/>
        <v>98</v>
      </c>
      <c r="G126" s="17"/>
      <c r="H126" s="61">
        <f t="shared" si="38"/>
        <v>0</v>
      </c>
      <c r="I126" s="50">
        <f t="shared" si="54"/>
        <v>0</v>
      </c>
      <c r="J126" s="51"/>
      <c r="T126" s="53"/>
      <c r="U126" s="52"/>
      <c r="V126" s="52"/>
      <c r="W126" s="17">
        <f t="shared" si="35"/>
        <v>0</v>
      </c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  <c r="AH126" s="126"/>
      <c r="AI126" s="126"/>
      <c r="AJ126" s="17">
        <f t="shared" si="32"/>
        <v>0</v>
      </c>
    </row>
    <row r="127" spans="1:36" ht="15" thickBot="1">
      <c r="A127" s="110" t="s">
        <v>186</v>
      </c>
      <c r="B127" s="103" t="s">
        <v>180</v>
      </c>
      <c r="C127" s="63"/>
      <c r="D127" s="63"/>
      <c r="E127" s="17">
        <v>47</v>
      </c>
      <c r="F127" s="49">
        <f t="shared" si="53"/>
        <v>47</v>
      </c>
      <c r="G127" s="17"/>
      <c r="H127" s="61">
        <f t="shared" si="38"/>
        <v>0</v>
      </c>
      <c r="I127" s="50">
        <f t="shared" si="54"/>
        <v>0</v>
      </c>
      <c r="J127" s="51"/>
      <c r="K127" s="52"/>
      <c r="L127" s="52">
        <v>1</v>
      </c>
      <c r="M127" s="52"/>
      <c r="N127" s="52"/>
      <c r="O127" s="52"/>
      <c r="P127" s="52"/>
      <c r="Q127" s="52"/>
      <c r="R127" s="52"/>
      <c r="S127" s="52"/>
      <c r="T127" s="53"/>
      <c r="U127" s="52"/>
      <c r="V127" s="52"/>
      <c r="W127" s="17">
        <f t="shared" si="35"/>
        <v>1</v>
      </c>
      <c r="X127" s="121">
        <v>1</v>
      </c>
      <c r="Y127" s="121"/>
      <c r="Z127" s="121"/>
      <c r="AA127" s="121"/>
      <c r="AB127" s="121"/>
      <c r="AC127" s="121"/>
      <c r="AD127" s="121"/>
      <c r="AE127" s="121"/>
      <c r="AF127" s="121"/>
      <c r="AG127" s="126"/>
      <c r="AH127" s="126"/>
      <c r="AI127" s="126"/>
      <c r="AJ127" s="17">
        <f t="shared" si="32"/>
        <v>1</v>
      </c>
    </row>
    <row r="128" spans="1:36" ht="15" thickBot="1">
      <c r="A128" s="110" t="s">
        <v>186</v>
      </c>
      <c r="B128" s="103" t="s">
        <v>181</v>
      </c>
      <c r="C128" s="63"/>
      <c r="D128" s="63"/>
      <c r="E128" s="17">
        <v>117</v>
      </c>
      <c r="F128" s="49">
        <f t="shared" si="53"/>
        <v>116</v>
      </c>
      <c r="G128" s="17"/>
      <c r="H128" s="61">
        <f t="shared" si="38"/>
        <v>0</v>
      </c>
      <c r="I128" s="50">
        <f t="shared" si="54"/>
        <v>0</v>
      </c>
      <c r="J128" s="51"/>
      <c r="K128" s="52">
        <v>1</v>
      </c>
      <c r="L128" s="52"/>
      <c r="M128" s="52"/>
      <c r="N128" s="52"/>
      <c r="O128" s="52"/>
      <c r="P128" s="52"/>
      <c r="Q128" s="52"/>
      <c r="R128" s="52"/>
      <c r="S128" s="52"/>
      <c r="T128" s="53"/>
      <c r="U128" s="52"/>
      <c r="V128" s="52"/>
      <c r="W128" s="17">
        <f t="shared" si="35"/>
        <v>1</v>
      </c>
      <c r="X128" s="126">
        <v>1</v>
      </c>
      <c r="Y128" s="126">
        <v>1</v>
      </c>
      <c r="Z128" s="126"/>
      <c r="AA128" s="126"/>
      <c r="AB128" s="126"/>
      <c r="AC128" s="126"/>
      <c r="AD128" s="126"/>
      <c r="AE128" s="126"/>
      <c r="AF128" s="126"/>
      <c r="AG128" s="126"/>
      <c r="AH128" s="126"/>
      <c r="AI128" s="126"/>
      <c r="AJ128" s="17">
        <f t="shared" si="32"/>
        <v>2</v>
      </c>
    </row>
    <row r="129" spans="1:36" ht="15" thickBot="1">
      <c r="A129" s="110" t="s">
        <v>186</v>
      </c>
      <c r="B129" s="103" t="s">
        <v>182</v>
      </c>
      <c r="C129" s="63"/>
      <c r="D129" s="63"/>
      <c r="E129" s="17">
        <v>132</v>
      </c>
      <c r="F129" s="49">
        <f t="shared" si="53"/>
        <v>132</v>
      </c>
      <c r="G129" s="17"/>
      <c r="H129" s="61">
        <f t="shared" si="38"/>
        <v>0</v>
      </c>
      <c r="I129" s="50">
        <f t="shared" si="54"/>
        <v>0</v>
      </c>
      <c r="J129" s="51"/>
      <c r="K129" s="52"/>
      <c r="L129" s="52"/>
      <c r="M129" s="52"/>
      <c r="N129" s="52"/>
      <c r="O129" s="52"/>
      <c r="P129" s="52"/>
      <c r="Q129" s="52"/>
      <c r="R129" s="52"/>
      <c r="S129" s="52"/>
      <c r="T129" s="53"/>
      <c r="U129" s="52"/>
      <c r="V129" s="52"/>
      <c r="W129" s="17">
        <f t="shared" si="35"/>
        <v>0</v>
      </c>
      <c r="X129" s="126"/>
      <c r="Y129" s="126"/>
      <c r="Z129" s="126"/>
      <c r="AA129" s="126"/>
      <c r="AB129" s="126"/>
      <c r="AC129" s="126"/>
      <c r="AD129" s="126"/>
      <c r="AE129" s="126"/>
      <c r="AF129" s="126"/>
      <c r="AG129" s="126"/>
      <c r="AH129" s="126"/>
      <c r="AI129" s="126"/>
      <c r="AJ129" s="17">
        <f t="shared" si="32"/>
        <v>0</v>
      </c>
    </row>
    <row r="130" spans="1:36" ht="15" thickBot="1">
      <c r="A130" s="110" t="s">
        <v>186</v>
      </c>
      <c r="B130" s="103" t="s">
        <v>183</v>
      </c>
      <c r="C130" s="63"/>
      <c r="D130" s="63"/>
      <c r="E130" s="17">
        <v>136</v>
      </c>
      <c r="F130" s="49">
        <f t="shared" si="53"/>
        <v>139</v>
      </c>
      <c r="G130" s="17"/>
      <c r="H130" s="61">
        <f t="shared" si="38"/>
        <v>0</v>
      </c>
      <c r="I130" s="50">
        <f t="shared" si="54"/>
        <v>0</v>
      </c>
      <c r="J130" s="51"/>
      <c r="K130" s="88"/>
      <c r="L130" s="88">
        <v>3</v>
      </c>
      <c r="M130" s="88"/>
      <c r="N130" s="88"/>
      <c r="O130" s="88"/>
      <c r="P130" s="88"/>
      <c r="Q130" s="88"/>
      <c r="R130" s="88"/>
      <c r="S130" s="88"/>
      <c r="T130" s="53"/>
      <c r="U130" s="88"/>
      <c r="V130" s="88"/>
      <c r="W130" s="17">
        <f t="shared" si="35"/>
        <v>3</v>
      </c>
      <c r="X130" s="126"/>
      <c r="Y130" s="126"/>
      <c r="Z130" s="126"/>
      <c r="AA130" s="126"/>
      <c r="AB130" s="126"/>
      <c r="AC130" s="126"/>
      <c r="AD130" s="126"/>
      <c r="AE130" s="126"/>
      <c r="AF130" s="126"/>
      <c r="AG130" s="128"/>
      <c r="AH130" s="128"/>
      <c r="AI130" s="128"/>
      <c r="AJ130" s="17">
        <f>SUM(X130:AI130)</f>
        <v>0</v>
      </c>
    </row>
    <row r="131" spans="1:36" ht="15" thickBot="1">
      <c r="A131" s="110" t="s">
        <v>186</v>
      </c>
      <c r="B131" s="103" t="s">
        <v>184</v>
      </c>
      <c r="C131" s="63"/>
      <c r="D131" s="63"/>
      <c r="E131" s="17">
        <v>59</v>
      </c>
      <c r="F131" s="49">
        <f t="shared" si="53"/>
        <v>58</v>
      </c>
      <c r="G131" s="17"/>
      <c r="H131" s="61">
        <f t="shared" si="38"/>
        <v>0</v>
      </c>
      <c r="I131" s="50">
        <f t="shared" si="54"/>
        <v>0</v>
      </c>
      <c r="J131" s="51"/>
      <c r="K131" s="88"/>
      <c r="L131" s="88"/>
      <c r="M131" s="88"/>
      <c r="N131" s="88"/>
      <c r="O131" s="88"/>
      <c r="P131" s="88"/>
      <c r="Q131" s="88"/>
      <c r="R131" s="88"/>
      <c r="S131" s="88"/>
      <c r="T131" s="53"/>
      <c r="U131" s="88"/>
      <c r="V131" s="88"/>
      <c r="W131" s="17">
        <f t="shared" si="35"/>
        <v>0</v>
      </c>
      <c r="X131" s="128"/>
      <c r="Y131" s="128">
        <v>1</v>
      </c>
      <c r="Z131" s="128"/>
      <c r="AA131" s="128"/>
      <c r="AB131" s="128"/>
      <c r="AC131" s="128"/>
      <c r="AD131" s="128"/>
      <c r="AE131" s="128"/>
      <c r="AF131" s="128"/>
      <c r="AG131" s="128"/>
      <c r="AH131" s="128"/>
      <c r="AI131" s="128"/>
      <c r="AJ131" s="17">
        <f t="shared" si="32"/>
        <v>1</v>
      </c>
    </row>
    <row r="132" spans="1:36" ht="15" thickBot="1">
      <c r="A132" s="110" t="s">
        <v>186</v>
      </c>
      <c r="B132" s="103" t="s">
        <v>185</v>
      </c>
      <c r="C132" s="63"/>
      <c r="D132" s="63"/>
      <c r="E132" s="17">
        <v>44</v>
      </c>
      <c r="F132" s="49">
        <f t="shared" si="53"/>
        <v>44</v>
      </c>
      <c r="G132" s="17"/>
      <c r="H132" s="61">
        <f t="shared" si="38"/>
        <v>0</v>
      </c>
      <c r="I132" s="50">
        <f t="shared" si="54"/>
        <v>0</v>
      </c>
      <c r="J132" s="51"/>
      <c r="K132" s="88"/>
      <c r="L132" s="88"/>
      <c r="M132" s="88"/>
      <c r="N132" s="88"/>
      <c r="O132" s="88"/>
      <c r="P132" s="88"/>
      <c r="Q132" s="88"/>
      <c r="R132" s="88"/>
      <c r="S132" s="88"/>
      <c r="T132" s="53"/>
      <c r="U132" s="88"/>
      <c r="V132" s="88"/>
      <c r="W132" s="17">
        <f t="shared" si="35"/>
        <v>0</v>
      </c>
      <c r="X132" s="128"/>
      <c r="Y132" s="128"/>
      <c r="Z132" s="128"/>
      <c r="AA132" s="128"/>
      <c r="AB132" s="128"/>
      <c r="AC132" s="128"/>
      <c r="AD132" s="128"/>
      <c r="AE132" s="128"/>
      <c r="AF132" s="128"/>
      <c r="AG132" s="128"/>
      <c r="AH132" s="128"/>
      <c r="AI132" s="128"/>
      <c r="AJ132" s="17">
        <f t="shared" si="32"/>
        <v>0</v>
      </c>
    </row>
    <row r="133" spans="1:39" ht="15" thickBot="1">
      <c r="A133" s="196" t="s">
        <v>208</v>
      </c>
      <c r="B133" s="197"/>
      <c r="C133" s="45">
        <f>+D133/Metas!N32</f>
        <v>0.9741924045398571</v>
      </c>
      <c r="D133" s="19">
        <f>+F133/AK133</f>
        <v>0.6429669869963057</v>
      </c>
      <c r="E133" s="14">
        <f aca="true" t="shared" si="55" ref="E133:K133">SUM(E120:E132)</f>
        <v>3490</v>
      </c>
      <c r="F133" s="14">
        <f t="shared" si="55"/>
        <v>3492</v>
      </c>
      <c r="G133" s="14">
        <f t="shared" si="55"/>
        <v>0</v>
      </c>
      <c r="H133" s="14">
        <f t="shared" si="55"/>
        <v>0</v>
      </c>
      <c r="I133" s="14">
        <f>SUM(I120:I132)</f>
        <v>0</v>
      </c>
      <c r="J133" s="14">
        <f t="shared" si="55"/>
        <v>0</v>
      </c>
      <c r="K133" s="14">
        <f t="shared" si="55"/>
        <v>9</v>
      </c>
      <c r="L133" s="14">
        <f aca="true" t="shared" si="56" ref="L133:V133">SUM(L120:L132)</f>
        <v>12</v>
      </c>
      <c r="M133" s="14">
        <f t="shared" si="56"/>
        <v>0</v>
      </c>
      <c r="N133" s="14">
        <f t="shared" si="56"/>
        <v>0</v>
      </c>
      <c r="O133" s="14">
        <f t="shared" si="56"/>
        <v>0</v>
      </c>
      <c r="P133" s="14">
        <f t="shared" si="56"/>
        <v>0</v>
      </c>
      <c r="Q133" s="14">
        <f t="shared" si="56"/>
        <v>0</v>
      </c>
      <c r="R133" s="14">
        <f t="shared" si="56"/>
        <v>0</v>
      </c>
      <c r="S133" s="14">
        <f t="shared" si="56"/>
        <v>0</v>
      </c>
      <c r="T133" s="14">
        <f t="shared" si="56"/>
        <v>0</v>
      </c>
      <c r="U133" s="14">
        <f t="shared" si="56"/>
        <v>0</v>
      </c>
      <c r="V133" s="14">
        <f t="shared" si="56"/>
        <v>0</v>
      </c>
      <c r="W133" s="14">
        <f t="shared" si="35"/>
        <v>21</v>
      </c>
      <c r="X133" s="14">
        <f aca="true" t="shared" si="57" ref="X133:AI133">SUM(X120:X132)</f>
        <v>11</v>
      </c>
      <c r="Y133" s="14">
        <f t="shared" si="57"/>
        <v>8</v>
      </c>
      <c r="Z133" s="14">
        <f t="shared" si="57"/>
        <v>0</v>
      </c>
      <c r="AA133" s="14">
        <f t="shared" si="57"/>
        <v>0</v>
      </c>
      <c r="AB133" s="14">
        <f t="shared" si="57"/>
        <v>0</v>
      </c>
      <c r="AC133" s="14">
        <f t="shared" si="57"/>
        <v>0</v>
      </c>
      <c r="AD133" s="14">
        <f t="shared" si="57"/>
        <v>0</v>
      </c>
      <c r="AE133" s="14">
        <f t="shared" si="57"/>
        <v>0</v>
      </c>
      <c r="AF133" s="14">
        <f t="shared" si="57"/>
        <v>0</v>
      </c>
      <c r="AG133" s="14">
        <f t="shared" si="57"/>
        <v>0</v>
      </c>
      <c r="AH133" s="14">
        <f t="shared" si="57"/>
        <v>0</v>
      </c>
      <c r="AI133" s="14">
        <f t="shared" si="57"/>
        <v>0</v>
      </c>
      <c r="AJ133" s="14">
        <f t="shared" si="32"/>
        <v>19</v>
      </c>
      <c r="AK133" s="14">
        <f>+AL133+AM133</f>
        <v>5431.072</v>
      </c>
      <c r="AL133" s="14">
        <f>20369*0.157</f>
        <v>3197.933</v>
      </c>
      <c r="AM133" s="14">
        <f>3473*0.643</f>
        <v>2233.139</v>
      </c>
    </row>
    <row r="134" spans="1:36" ht="15" thickBot="1">
      <c r="A134" s="110" t="s">
        <v>191</v>
      </c>
      <c r="B134" s="103" t="s">
        <v>187</v>
      </c>
      <c r="C134" s="63"/>
      <c r="D134" s="63"/>
      <c r="E134" s="17">
        <v>1279</v>
      </c>
      <c r="F134" s="49">
        <f>+E134+(K134+L134+M134)-(X134+Y134+Z134)</f>
        <v>1283</v>
      </c>
      <c r="G134" s="17"/>
      <c r="H134" s="61">
        <f t="shared" si="38"/>
        <v>0</v>
      </c>
      <c r="I134" s="50">
        <f>+G134+(Q134+R134+S134+T134)-(AD134+AE134+AF134+AG134)</f>
        <v>0</v>
      </c>
      <c r="J134" s="51"/>
      <c r="K134" s="76">
        <v>5</v>
      </c>
      <c r="L134" s="76">
        <v>2</v>
      </c>
      <c r="W134" s="17">
        <f t="shared" si="35"/>
        <v>7</v>
      </c>
      <c r="X134" s="121"/>
      <c r="Y134" s="121">
        <v>3</v>
      </c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9"/>
      <c r="AJ134" s="17">
        <f t="shared" si="32"/>
        <v>3</v>
      </c>
    </row>
    <row r="135" spans="1:36" ht="15" thickBot="1">
      <c r="A135" s="110" t="s">
        <v>191</v>
      </c>
      <c r="B135" s="103" t="s">
        <v>188</v>
      </c>
      <c r="C135" s="63"/>
      <c r="D135" s="63"/>
      <c r="E135" s="51">
        <v>267</v>
      </c>
      <c r="F135" s="49">
        <f>+E135+(K135+L135+M135)-(X135+Y135+Z135)</f>
        <v>269</v>
      </c>
      <c r="G135" s="17"/>
      <c r="H135" s="61">
        <f t="shared" si="38"/>
        <v>0</v>
      </c>
      <c r="I135" s="50">
        <f>+G135+(Q135+R135+S135+T135)-(AD135+AE135+AF135+AG135)</f>
        <v>0</v>
      </c>
      <c r="J135" s="51"/>
      <c r="L135" s="76">
        <v>4</v>
      </c>
      <c r="W135" s="17">
        <f>SUM(K135:V135)</f>
        <v>4</v>
      </c>
      <c r="X135" s="121"/>
      <c r="Y135" s="121">
        <v>2</v>
      </c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7">
        <f t="shared" si="32"/>
        <v>2</v>
      </c>
    </row>
    <row r="136" spans="1:36" ht="15" thickBot="1">
      <c r="A136" s="110" t="s">
        <v>191</v>
      </c>
      <c r="B136" s="103" t="s">
        <v>189</v>
      </c>
      <c r="C136" s="63"/>
      <c r="D136" s="63"/>
      <c r="E136" s="51">
        <v>21</v>
      </c>
      <c r="F136" s="49">
        <f>+E136+(K136+L136+M136)-(X136+Y136+Z136)</f>
        <v>21</v>
      </c>
      <c r="G136" s="17"/>
      <c r="H136" s="61">
        <f t="shared" si="38"/>
        <v>0</v>
      </c>
      <c r="I136" s="50">
        <f>+G136+(Q136+R136+S136+T136)-(AD136+AE136+AF136+AG136)</f>
        <v>0</v>
      </c>
      <c r="J136" s="51"/>
      <c r="W136" s="17">
        <f t="shared" si="35"/>
        <v>0</v>
      </c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7">
        <f t="shared" si="32"/>
        <v>0</v>
      </c>
    </row>
    <row r="137" spans="1:36" ht="15" thickBot="1">
      <c r="A137" s="110" t="s">
        <v>191</v>
      </c>
      <c r="B137" s="103" t="s">
        <v>190</v>
      </c>
      <c r="C137" s="63"/>
      <c r="D137" s="63"/>
      <c r="E137" s="51">
        <v>19</v>
      </c>
      <c r="F137" s="49">
        <f>+E137+(K137+L137+M137)-(X137+Y137+Z137)</f>
        <v>19</v>
      </c>
      <c r="G137" s="17"/>
      <c r="H137" s="61">
        <f t="shared" si="38"/>
        <v>0</v>
      </c>
      <c r="I137" s="50">
        <f>+G137+(Q137+R137+S137+T137)-(AD137+AE137+AF137+AG137)</f>
        <v>0</v>
      </c>
      <c r="J137" s="51"/>
      <c r="W137" s="17">
        <f t="shared" si="35"/>
        <v>0</v>
      </c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7">
        <f t="shared" si="32"/>
        <v>0</v>
      </c>
    </row>
    <row r="138" spans="1:39" ht="15" thickBot="1">
      <c r="A138" s="196" t="s">
        <v>209</v>
      </c>
      <c r="B138" s="197"/>
      <c r="C138" s="45">
        <f>+D138/Metas!N34</f>
        <v>1.0035796020176488</v>
      </c>
      <c r="D138" s="19">
        <f>+F138/AK138</f>
        <v>0.8028636816141191</v>
      </c>
      <c r="E138" s="14">
        <f aca="true" t="shared" si="58" ref="E138:K138">SUM(E134:E137)</f>
        <v>1586</v>
      </c>
      <c r="F138" s="14">
        <f t="shared" si="58"/>
        <v>1592</v>
      </c>
      <c r="G138" s="14">
        <f t="shared" si="58"/>
        <v>0</v>
      </c>
      <c r="H138" s="14">
        <f t="shared" si="58"/>
        <v>0</v>
      </c>
      <c r="I138" s="14">
        <f>SUM(I134:I137)</f>
        <v>0</v>
      </c>
      <c r="J138" s="14">
        <f t="shared" si="58"/>
        <v>0</v>
      </c>
      <c r="K138" s="14">
        <f t="shared" si="58"/>
        <v>5</v>
      </c>
      <c r="L138" s="14">
        <f aca="true" t="shared" si="59" ref="L138:V138">SUM(L134:L137)</f>
        <v>6</v>
      </c>
      <c r="M138" s="14">
        <f t="shared" si="59"/>
        <v>0</v>
      </c>
      <c r="N138" s="14">
        <f t="shared" si="59"/>
        <v>0</v>
      </c>
      <c r="O138" s="14">
        <f t="shared" si="59"/>
        <v>0</v>
      </c>
      <c r="P138" s="14">
        <f t="shared" si="59"/>
        <v>0</v>
      </c>
      <c r="Q138" s="14">
        <f t="shared" si="59"/>
        <v>0</v>
      </c>
      <c r="R138" s="14">
        <f t="shared" si="59"/>
        <v>0</v>
      </c>
      <c r="S138" s="14">
        <f t="shared" si="59"/>
        <v>0</v>
      </c>
      <c r="T138" s="14">
        <f t="shared" si="59"/>
        <v>0</v>
      </c>
      <c r="U138" s="14">
        <f t="shared" si="59"/>
        <v>0</v>
      </c>
      <c r="V138" s="14">
        <f t="shared" si="59"/>
        <v>0</v>
      </c>
      <c r="W138" s="14">
        <f t="shared" si="35"/>
        <v>11</v>
      </c>
      <c r="X138" s="14">
        <f aca="true" t="shared" si="60" ref="X138:AI138">SUM(X134:X137)</f>
        <v>0</v>
      </c>
      <c r="Y138" s="14">
        <f t="shared" si="60"/>
        <v>5</v>
      </c>
      <c r="Z138" s="14">
        <f t="shared" si="60"/>
        <v>0</v>
      </c>
      <c r="AA138" s="14">
        <f t="shared" si="60"/>
        <v>0</v>
      </c>
      <c r="AB138" s="14">
        <f t="shared" si="60"/>
        <v>0</v>
      </c>
      <c r="AC138" s="14">
        <f t="shared" si="60"/>
        <v>0</v>
      </c>
      <c r="AD138" s="14">
        <f t="shared" si="60"/>
        <v>0</v>
      </c>
      <c r="AE138" s="14">
        <f t="shared" si="60"/>
        <v>0</v>
      </c>
      <c r="AF138" s="14">
        <f t="shared" si="60"/>
        <v>0</v>
      </c>
      <c r="AG138" s="14">
        <f t="shared" si="60"/>
        <v>0</v>
      </c>
      <c r="AH138" s="14">
        <f t="shared" si="60"/>
        <v>0</v>
      </c>
      <c r="AI138" s="14">
        <f t="shared" si="60"/>
        <v>0</v>
      </c>
      <c r="AJ138" s="14">
        <f t="shared" si="32"/>
        <v>5</v>
      </c>
      <c r="AK138" s="14">
        <f>+AL138+AM138</f>
        <v>1982.902</v>
      </c>
      <c r="AL138" s="14">
        <f>6888*0.157</f>
        <v>1081.416</v>
      </c>
      <c r="AM138" s="14">
        <f>1402*0.643</f>
        <v>901.486</v>
      </c>
    </row>
    <row r="139" spans="1:36" ht="15" thickBot="1">
      <c r="A139" s="110" t="s">
        <v>199</v>
      </c>
      <c r="B139" s="103" t="s">
        <v>192</v>
      </c>
      <c r="C139" s="63"/>
      <c r="D139" s="63"/>
      <c r="E139" s="51">
        <v>312</v>
      </c>
      <c r="F139" s="49">
        <f aca="true" t="shared" si="61" ref="F139:F145">+E139+(K139+L139+M139)-(X139+Y139+Z139)</f>
        <v>312</v>
      </c>
      <c r="G139" s="17"/>
      <c r="H139" s="61">
        <f t="shared" si="38"/>
        <v>0</v>
      </c>
      <c r="I139" s="50">
        <f aca="true" t="shared" si="62" ref="I139:I145">+G139+(Q139+R139+S139+T139)-(AD139+AE139+AF139+AG139)</f>
        <v>0</v>
      </c>
      <c r="J139" s="51"/>
      <c r="L139" s="76">
        <v>2</v>
      </c>
      <c r="T139" s="49"/>
      <c r="W139" s="17">
        <f t="shared" si="35"/>
        <v>2</v>
      </c>
      <c r="X139" s="121"/>
      <c r="Y139" s="121">
        <v>2</v>
      </c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7">
        <f t="shared" si="32"/>
        <v>2</v>
      </c>
    </row>
    <row r="140" spans="1:36" ht="15" thickBot="1">
      <c r="A140" s="110" t="s">
        <v>199</v>
      </c>
      <c r="B140" s="103" t="s">
        <v>193</v>
      </c>
      <c r="C140" s="63"/>
      <c r="D140" s="63"/>
      <c r="E140" s="51">
        <v>36</v>
      </c>
      <c r="F140" s="49">
        <f t="shared" si="61"/>
        <v>36</v>
      </c>
      <c r="G140" s="17"/>
      <c r="H140" s="61">
        <f t="shared" si="38"/>
        <v>0</v>
      </c>
      <c r="I140" s="50">
        <f t="shared" si="62"/>
        <v>0</v>
      </c>
      <c r="J140" s="51"/>
      <c r="L140" s="76">
        <v>1</v>
      </c>
      <c r="T140" s="49"/>
      <c r="W140" s="17">
        <f t="shared" si="35"/>
        <v>1</v>
      </c>
      <c r="X140" s="121"/>
      <c r="Y140" s="121">
        <v>1</v>
      </c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7">
        <f aca="true" t="shared" si="63" ref="AJ140:AJ146">SUM(X140:AI140)</f>
        <v>1</v>
      </c>
    </row>
    <row r="141" spans="1:36" ht="15" thickBot="1">
      <c r="A141" s="110" t="s">
        <v>199</v>
      </c>
      <c r="B141" s="103" t="s">
        <v>194</v>
      </c>
      <c r="C141" s="63"/>
      <c r="D141" s="63"/>
      <c r="E141" s="51">
        <v>82</v>
      </c>
      <c r="F141" s="49">
        <f t="shared" si="61"/>
        <v>82</v>
      </c>
      <c r="G141" s="17"/>
      <c r="H141" s="61">
        <f t="shared" si="38"/>
        <v>0</v>
      </c>
      <c r="I141" s="50">
        <f t="shared" si="62"/>
        <v>0</v>
      </c>
      <c r="J141" s="51"/>
      <c r="T141" s="49"/>
      <c r="W141" s="17">
        <f aca="true" t="shared" si="64" ref="W141:W146">SUM(K141:V141)</f>
        <v>0</v>
      </c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7">
        <f t="shared" si="63"/>
        <v>0</v>
      </c>
    </row>
    <row r="142" spans="1:36" ht="15" thickBot="1">
      <c r="A142" s="110" t="s">
        <v>199</v>
      </c>
      <c r="B142" s="103" t="s">
        <v>195</v>
      </c>
      <c r="C142" s="63"/>
      <c r="D142" s="63"/>
      <c r="E142" s="51">
        <v>41</v>
      </c>
      <c r="F142" s="49">
        <f t="shared" si="61"/>
        <v>41</v>
      </c>
      <c r="G142" s="17"/>
      <c r="H142" s="61">
        <f t="shared" si="38"/>
        <v>0</v>
      </c>
      <c r="I142" s="50">
        <f t="shared" si="62"/>
        <v>0</v>
      </c>
      <c r="J142" s="51"/>
      <c r="T142" s="49"/>
      <c r="W142" s="17">
        <f t="shared" si="64"/>
        <v>0</v>
      </c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7">
        <f t="shared" si="63"/>
        <v>0</v>
      </c>
    </row>
    <row r="143" spans="1:36" ht="15" thickBot="1">
      <c r="A143" s="110" t="s">
        <v>199</v>
      </c>
      <c r="B143" s="103" t="s">
        <v>196</v>
      </c>
      <c r="C143" s="63"/>
      <c r="D143" s="63"/>
      <c r="E143" s="51">
        <v>136</v>
      </c>
      <c r="F143" s="49">
        <f t="shared" si="61"/>
        <v>136</v>
      </c>
      <c r="G143" s="17"/>
      <c r="H143" s="61">
        <f>+G143+(Q143+R143)-(AD143+AE143)</f>
        <v>0</v>
      </c>
      <c r="I143" s="50">
        <f t="shared" si="62"/>
        <v>0</v>
      </c>
      <c r="J143" s="51"/>
      <c r="T143" s="49"/>
      <c r="W143" s="17">
        <f t="shared" si="64"/>
        <v>0</v>
      </c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7">
        <f t="shared" si="63"/>
        <v>0</v>
      </c>
    </row>
    <row r="144" spans="1:36" ht="15" thickBot="1">
      <c r="A144" s="110" t="s">
        <v>199</v>
      </c>
      <c r="B144" s="103" t="s">
        <v>197</v>
      </c>
      <c r="C144" s="63"/>
      <c r="D144" s="63"/>
      <c r="E144" s="51">
        <v>116</v>
      </c>
      <c r="F144" s="49">
        <f t="shared" si="61"/>
        <v>116</v>
      </c>
      <c r="G144" s="17"/>
      <c r="H144" s="61">
        <f>+G144+(Q144+R144)-(AD144+AE144)</f>
        <v>0</v>
      </c>
      <c r="I144" s="50">
        <f t="shared" si="62"/>
        <v>0</v>
      </c>
      <c r="J144" s="51"/>
      <c r="L144" s="76">
        <v>1</v>
      </c>
      <c r="T144" s="49"/>
      <c r="W144" s="17">
        <f t="shared" si="64"/>
        <v>1</v>
      </c>
      <c r="X144" s="121"/>
      <c r="Y144" s="121">
        <v>1</v>
      </c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7">
        <f>SUM(X144:AI144)</f>
        <v>1</v>
      </c>
    </row>
    <row r="145" spans="1:36" ht="15" thickBot="1">
      <c r="A145" s="110" t="s">
        <v>199</v>
      </c>
      <c r="B145" s="103" t="s">
        <v>198</v>
      </c>
      <c r="C145" s="63"/>
      <c r="D145" s="63"/>
      <c r="E145" s="51">
        <v>62</v>
      </c>
      <c r="F145" s="49">
        <f t="shared" si="61"/>
        <v>62</v>
      </c>
      <c r="G145" s="17"/>
      <c r="H145" s="61">
        <f>+G145+(Q145+R145)-(AD145+AE145)</f>
        <v>0</v>
      </c>
      <c r="I145" s="50">
        <f t="shared" si="62"/>
        <v>0</v>
      </c>
      <c r="J145" s="51"/>
      <c r="K145" s="76">
        <v>1</v>
      </c>
      <c r="T145" s="49"/>
      <c r="W145" s="17">
        <f t="shared" si="64"/>
        <v>1</v>
      </c>
      <c r="X145" s="121"/>
      <c r="Y145" s="121">
        <v>1</v>
      </c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7">
        <f>SUM(X145:AI145)</f>
        <v>1</v>
      </c>
    </row>
    <row r="146" spans="1:39" ht="15" thickBot="1">
      <c r="A146" s="196" t="s">
        <v>210</v>
      </c>
      <c r="B146" s="197"/>
      <c r="C146" s="45">
        <f>+D146/Metas!N35</f>
        <v>0.9395541038999143</v>
      </c>
      <c r="D146" s="19">
        <f>+F146/AK146</f>
        <v>0.9113674807829169</v>
      </c>
      <c r="E146" s="14">
        <f aca="true" t="shared" si="65" ref="E146:K146">SUM(E139:E145)</f>
        <v>785</v>
      </c>
      <c r="F146" s="14">
        <f t="shared" si="65"/>
        <v>785</v>
      </c>
      <c r="G146" s="14">
        <f t="shared" si="65"/>
        <v>0</v>
      </c>
      <c r="H146" s="14">
        <f t="shared" si="65"/>
        <v>0</v>
      </c>
      <c r="I146" s="14">
        <f>SUM(I139:I145)</f>
        <v>0</v>
      </c>
      <c r="J146" s="14">
        <f t="shared" si="65"/>
        <v>0</v>
      </c>
      <c r="K146" s="14">
        <f t="shared" si="65"/>
        <v>1</v>
      </c>
      <c r="L146" s="14">
        <f aca="true" t="shared" si="66" ref="L146:V146">SUM(L139:L145)</f>
        <v>4</v>
      </c>
      <c r="M146" s="14">
        <f t="shared" si="66"/>
        <v>0</v>
      </c>
      <c r="N146" s="14">
        <f t="shared" si="66"/>
        <v>0</v>
      </c>
      <c r="O146" s="14">
        <f t="shared" si="66"/>
        <v>0</v>
      </c>
      <c r="P146" s="14">
        <f t="shared" si="66"/>
        <v>0</v>
      </c>
      <c r="Q146" s="14">
        <f t="shared" si="66"/>
        <v>0</v>
      </c>
      <c r="R146" s="14">
        <f t="shared" si="66"/>
        <v>0</v>
      </c>
      <c r="S146" s="14">
        <f t="shared" si="66"/>
        <v>0</v>
      </c>
      <c r="T146" s="14">
        <f t="shared" si="66"/>
        <v>0</v>
      </c>
      <c r="U146" s="14">
        <f t="shared" si="66"/>
        <v>0</v>
      </c>
      <c r="V146" s="14">
        <f t="shared" si="66"/>
        <v>0</v>
      </c>
      <c r="W146" s="14">
        <f t="shared" si="64"/>
        <v>5</v>
      </c>
      <c r="X146" s="14">
        <f aca="true" t="shared" si="67" ref="X146:AI146">SUM(X139:X145)</f>
        <v>0</v>
      </c>
      <c r="Y146" s="14">
        <f t="shared" si="67"/>
        <v>5</v>
      </c>
      <c r="Z146" s="14">
        <f t="shared" si="67"/>
        <v>0</v>
      </c>
      <c r="AA146" s="14">
        <f t="shared" si="67"/>
        <v>0</v>
      </c>
      <c r="AB146" s="14">
        <f t="shared" si="67"/>
        <v>0</v>
      </c>
      <c r="AC146" s="14">
        <f t="shared" si="67"/>
        <v>0</v>
      </c>
      <c r="AD146" s="14">
        <f t="shared" si="67"/>
        <v>0</v>
      </c>
      <c r="AE146" s="14">
        <f t="shared" si="67"/>
        <v>0</v>
      </c>
      <c r="AF146" s="14">
        <f t="shared" si="67"/>
        <v>0</v>
      </c>
      <c r="AG146" s="14">
        <f t="shared" si="67"/>
        <v>0</v>
      </c>
      <c r="AH146" s="14">
        <f t="shared" si="67"/>
        <v>0</v>
      </c>
      <c r="AI146" s="14">
        <f t="shared" si="67"/>
        <v>0</v>
      </c>
      <c r="AJ146" s="14">
        <f t="shared" si="63"/>
        <v>5</v>
      </c>
      <c r="AK146" s="14">
        <f>+AL146+AM146</f>
        <v>861.3430000000001</v>
      </c>
      <c r="AL146" s="14">
        <f>2603*0.157</f>
        <v>408.671</v>
      </c>
      <c r="AM146" s="14">
        <f>704*0.643</f>
        <v>452.672</v>
      </c>
    </row>
    <row r="147" spans="2:39" ht="14.25">
      <c r="B147" s="148" t="s">
        <v>215</v>
      </c>
      <c r="C147" s="72"/>
      <c r="D147" s="81"/>
      <c r="E147" s="76">
        <f aca="true" t="shared" si="68" ref="E147:AM147">+E25+E36+E47+E61+E72+E78+E89+E106+E119+E133+E138+E146</f>
        <v>61144</v>
      </c>
      <c r="F147" s="76">
        <f t="shared" si="68"/>
        <v>61601</v>
      </c>
      <c r="G147" s="76">
        <f t="shared" si="68"/>
        <v>0</v>
      </c>
      <c r="H147" s="76">
        <f t="shared" si="68"/>
        <v>0</v>
      </c>
      <c r="I147" s="76">
        <f>+I25+I36+I47+I61+I72+I78+I89+I106+I119+I133+I138+I146</f>
        <v>0</v>
      </c>
      <c r="J147" s="76">
        <f t="shared" si="68"/>
        <v>0</v>
      </c>
      <c r="K147" s="76">
        <f t="shared" si="68"/>
        <v>384</v>
      </c>
      <c r="L147" s="76">
        <f t="shared" si="68"/>
        <v>417</v>
      </c>
      <c r="M147" s="76">
        <f t="shared" si="68"/>
        <v>0</v>
      </c>
      <c r="N147" s="76">
        <f t="shared" si="68"/>
        <v>0</v>
      </c>
      <c r="O147" s="76">
        <f t="shared" si="68"/>
        <v>0</v>
      </c>
      <c r="P147" s="76">
        <f t="shared" si="68"/>
        <v>0</v>
      </c>
      <c r="Q147" s="76">
        <f t="shared" si="68"/>
        <v>0</v>
      </c>
      <c r="R147" s="76">
        <f t="shared" si="68"/>
        <v>0</v>
      </c>
      <c r="S147" s="76">
        <f t="shared" si="68"/>
        <v>0</v>
      </c>
      <c r="T147" s="76">
        <f t="shared" si="68"/>
        <v>0</v>
      </c>
      <c r="U147" s="76">
        <f t="shared" si="68"/>
        <v>0</v>
      </c>
      <c r="V147" s="76">
        <f t="shared" si="68"/>
        <v>0</v>
      </c>
      <c r="W147" s="76">
        <f t="shared" si="68"/>
        <v>801</v>
      </c>
      <c r="X147" s="76">
        <f t="shared" si="68"/>
        <v>135</v>
      </c>
      <c r="Y147" s="76">
        <f t="shared" si="68"/>
        <v>209</v>
      </c>
      <c r="Z147" s="76">
        <f t="shared" si="68"/>
        <v>0</v>
      </c>
      <c r="AA147" s="76">
        <f t="shared" si="68"/>
        <v>0</v>
      </c>
      <c r="AB147" s="76">
        <f t="shared" si="68"/>
        <v>0</v>
      </c>
      <c r="AC147" s="76">
        <f t="shared" si="68"/>
        <v>0</v>
      </c>
      <c r="AD147" s="76">
        <f t="shared" si="68"/>
        <v>0</v>
      </c>
      <c r="AE147" s="76">
        <f t="shared" si="68"/>
        <v>0</v>
      </c>
      <c r="AF147" s="76">
        <f t="shared" si="68"/>
        <v>0</v>
      </c>
      <c r="AG147" s="76">
        <f t="shared" si="68"/>
        <v>0</v>
      </c>
      <c r="AH147" s="76">
        <f t="shared" si="68"/>
        <v>0</v>
      </c>
      <c r="AI147" s="76">
        <f t="shared" si="68"/>
        <v>0</v>
      </c>
      <c r="AJ147" s="76">
        <f t="shared" si="68"/>
        <v>344</v>
      </c>
      <c r="AK147" s="76">
        <f t="shared" si="68"/>
        <v>103530.06799999998</v>
      </c>
      <c r="AL147" s="76">
        <f t="shared" si="68"/>
        <v>59931.453</v>
      </c>
      <c r="AM147" s="76">
        <f t="shared" si="68"/>
        <v>43598.615</v>
      </c>
    </row>
    <row r="148" spans="3:4" ht="14.25">
      <c r="C148" s="74"/>
      <c r="D148" s="98"/>
    </row>
  </sheetData>
  <sheetProtection/>
  <mergeCells count="25">
    <mergeCell ref="A36:B36"/>
    <mergeCell ref="D1:D10"/>
    <mergeCell ref="AK2:AM9"/>
    <mergeCell ref="A138:B138"/>
    <mergeCell ref="E1:AM1"/>
    <mergeCell ref="E10:J10"/>
    <mergeCell ref="K10:W10"/>
    <mergeCell ref="X10:AJ10"/>
    <mergeCell ref="A25:B25"/>
    <mergeCell ref="AL10:AL11"/>
    <mergeCell ref="A146:B146"/>
    <mergeCell ref="A47:B47"/>
    <mergeCell ref="A61:B61"/>
    <mergeCell ref="A72:B72"/>
    <mergeCell ref="A78:B78"/>
    <mergeCell ref="A89:B89"/>
    <mergeCell ref="A106:B106"/>
    <mergeCell ref="A119:B119"/>
    <mergeCell ref="A133:B133"/>
    <mergeCell ref="AK10:AK11"/>
    <mergeCell ref="E2:AJ9"/>
    <mergeCell ref="AM10:AM11"/>
    <mergeCell ref="A1:A10"/>
    <mergeCell ref="B1:B10"/>
    <mergeCell ref="C1:C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michelle keller</cp:lastModifiedBy>
  <cp:lastPrinted>2015-08-28T15:32:11Z</cp:lastPrinted>
  <dcterms:created xsi:type="dcterms:W3CDTF">2014-07-18T16:45:26Z</dcterms:created>
  <dcterms:modified xsi:type="dcterms:W3CDTF">2016-04-08T14:16:39Z</dcterms:modified>
  <cp:category/>
  <cp:version/>
  <cp:contentType/>
  <cp:contentStatus/>
</cp:coreProperties>
</file>